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1 総務係\90 市税資料\10 市税概要\令和５年度\④HP掲載用\③賦課\"/>
    </mc:Choice>
  </mc:AlternateContent>
  <xr:revisionPtr revIDLastSave="0" documentId="13_ncr:1_{A95FD95C-106E-4D47-B662-24CFDF8552FB}" xr6:coauthVersionLast="47" xr6:coauthVersionMax="47" xr10:uidLastSave="{00000000-0000-0000-0000-000000000000}"/>
  <bookViews>
    <workbookView xWindow="195" yWindow="0" windowWidth="20100" windowHeight="10470" xr2:uid="{0450AB27-851F-4075-B46B-CDDDC924B1A9}"/>
  </bookViews>
  <sheets>
    <sheet name="3Ⅱ-1" sheetId="1" r:id="rId1"/>
    <sheet name="3Ⅱ-2" sheetId="2" r:id="rId2"/>
    <sheet name="3Ⅱ-3" sheetId="3" r:id="rId3"/>
    <sheet name="3Ⅱ-4" sheetId="4" r:id="rId4"/>
    <sheet name="3Ⅱ-5" sheetId="5" r:id="rId5"/>
    <sheet name="3Ⅱ-6" sheetId="6" r:id="rId6"/>
    <sheet name="3Ⅱ-7(1)(2)" sheetId="7" r:id="rId7"/>
    <sheet name="3Ⅱ-7(3)" sheetId="8" r:id="rId8"/>
    <sheet name="3Ⅱ-8" sheetId="9" r:id="rId9"/>
    <sheet name="3Ⅱ-9" sheetId="10" r:id="rId10"/>
  </sheets>
  <definedNames>
    <definedName name="_xlnm.Print_Area" localSheetId="0">'3Ⅱ-1'!$A$1:$V$26</definedName>
    <definedName name="_xlnm.Print_Area" localSheetId="1">'3Ⅱ-2'!$A$1:$V$23</definedName>
    <definedName name="_xlnm.Print_Area" localSheetId="2">'3Ⅱ-3'!$A$1:$N$86</definedName>
    <definedName name="_xlnm.Print_Area" localSheetId="3">'3Ⅱ-4'!$A$1:$O$94</definedName>
    <definedName name="_xlnm.Print_Area" localSheetId="4">'3Ⅱ-5'!$A$1:$F$116</definedName>
    <definedName name="_xlnm.Print_Area" localSheetId="5">'3Ⅱ-6'!$A$1:$V$52</definedName>
    <definedName name="_xlnm.Print_Area" localSheetId="6">'3Ⅱ-7(1)(2)'!$A$1:$AP$41</definedName>
    <definedName name="_xlnm.Print_Area" localSheetId="7">'3Ⅱ-7(3)'!$A$1:$AP$65</definedName>
    <definedName name="_xlnm.Print_Area" localSheetId="8">'3Ⅱ-8'!$A$1:$H$64</definedName>
    <definedName name="_xlnm.Print_Area" localSheetId="9">'3Ⅱ-9'!$A$1:$G$78</definedName>
    <definedName name="Z_020B5ECE_0A29_4CEA_9438_E5A3DD333F2C_.wvu.PrintArea" localSheetId="3" hidden="1">'3Ⅱ-4'!$A$1:$O$95</definedName>
    <definedName name="Z_020B5ECE_0A29_4CEA_9438_E5A3DD333F2C_.wvu.Rows" localSheetId="3" hidden="1">'3Ⅱ-4'!$7:$18</definedName>
    <definedName name="Z_275A34DE_F3A2_4370_8519_285E674524C5_.wvu.PrintArea" localSheetId="2" hidden="1">'3Ⅱ-3'!$A$1:$N$47</definedName>
    <definedName name="Z_4195D552_F5C2_40FE_9B1D_346E7346B023_.wvu.Cols" localSheetId="5" hidden="1">'3Ⅱ-6'!#REF!</definedName>
    <definedName name="Z_511E53AE_CF75_424B_8243_C4DE9A73E7C0_.wvu.PrintArea" localSheetId="9" hidden="1">'3Ⅱ-9'!$A$1:$G$78</definedName>
    <definedName name="Z_511E53AE_CF75_424B_8243_C4DE9A73E7C0_.wvu.Rows" localSheetId="9" hidden="1">'3Ⅱ-9'!#REF!,'3Ⅱ-9'!#REF!,'3Ⅱ-9'!#REF!</definedName>
    <definedName name="Z_52DAF842_334B_4451_B574_74F8F1F40199_.wvu.PrintArea" localSheetId="9" hidden="1">'3Ⅱ-9'!$A$1:$G$62</definedName>
    <definedName name="Z_52DAF842_334B_4451_B574_74F8F1F40199_.wvu.Rows" localSheetId="9" hidden="1">'3Ⅱ-9'!#REF!,'3Ⅱ-9'!#REF!,'3Ⅱ-9'!#REF!</definedName>
    <definedName name="Z_5B9FC44B_0D34_45F9_9E94_9F9CFAB77010_.wvu.Rows" localSheetId="8" hidden="1">'3Ⅱ-8'!#REF!</definedName>
    <definedName name="Z_79BC4CFC_28C6_4675_BA8D_B6B5F356FCC3_.wvu.Cols" localSheetId="1" hidden="1">'3Ⅱ-2'!#REF!</definedName>
    <definedName name="Z_83F46E2E_4654_41BF_BA28_2FADEB6D6197_.wvu.Rows" localSheetId="4" hidden="1">'3Ⅱ-5'!$5:$20</definedName>
    <definedName name="Z_A54D2194_4D22_4686_9768_745BFE71CD3B_.wvu.Cols" localSheetId="7" hidden="1">'3Ⅱ-7(3)'!#REF!</definedName>
    <definedName name="Z_A54D2194_4D22_4686_9768_745BFE71CD3B_.wvu.PrintArea" localSheetId="7" hidden="1">'3Ⅱ-7(3)'!$A$2:$L$65</definedName>
    <definedName name="Z_A73C1E25_896D_4B61_AD61_140BB615508F_.wvu.Rows" localSheetId="4" hidden="1">'3Ⅱ-5'!$5:$20</definedName>
    <definedName name="Z_AF711E79_9D7B_4383_8588_A0BE26418181_.wvu.Cols" localSheetId="0" hidden="1">'3Ⅱ-1'!#REF!</definedName>
    <definedName name="Z_BB5629D8_201F_4062_983C_9501032A4E65_.wvu.Cols" localSheetId="5" hidden="1">'3Ⅱ-6'!#REF!</definedName>
    <definedName name="Z_C0C3DDC2_9DB6_4248_88B4_83119CCB010B_.wvu.PrintArea" localSheetId="3" hidden="1">'3Ⅱ-4'!$A$1:$O$94</definedName>
    <definedName name="Z_C0C3DDC2_9DB6_4248_88B4_83119CCB010B_.wvu.Rows" localSheetId="3" hidden="1">'3Ⅱ-4'!$7:$18</definedName>
    <definedName name="Z_C7478B11_5C87_4166_AFBA_6DD9E5ED1FF6_.wvu.PrintArea" localSheetId="9" hidden="1">'3Ⅱ-9'!$A$1:$G$78</definedName>
    <definedName name="Z_C7478B11_5C87_4166_AFBA_6DD9E5ED1FF6_.wvu.Rows" localSheetId="9" hidden="1">'3Ⅱ-9'!#REF!</definedName>
    <definedName name="Z_CD8F0BE0_64CC_4995_820C_F2F915FDC1CF_.wvu.Rows" localSheetId="8" hidden="1">'3Ⅱ-8'!#REF!</definedName>
    <definedName name="Z_CDCD9FEE_93AA_499D_87A9_9E6114C7131A_.wvu.PrintArea" localSheetId="7" hidden="1">'3Ⅱ-7(3)'!$A$2:$L$65</definedName>
    <definedName name="Z_D5062F68_F9D9_4F16_96E8_D92F3BAE9E40_.wvu.PrintArea" localSheetId="3" hidden="1">'3Ⅱ-4'!$A$1:$O$94</definedName>
    <definedName name="Z_D9727D69_F342_458D_BE61_6DF6500BE292_.wvu.Cols" localSheetId="1" hidden="1">'3Ⅱ-2'!#REF!</definedName>
    <definedName name="Z_F4B09AF6_2BF7_4B51_AB9F_67308B46B145_.wvu.Cols" localSheetId="7" hidden="1">'3Ⅱ-7(3)'!#REF!</definedName>
    <definedName name="Z_F4B09AF6_2BF7_4B51_AB9F_67308B46B145_.wvu.PrintArea" localSheetId="7" hidden="1">'3Ⅱ-7(3)'!$A$2:$AE$65</definedName>
    <definedName name="Z_F4B09AF6_2BF7_4B51_AB9F_67308B46B145_.wvu.Rows" localSheetId="7" hidden="1">'3Ⅱ-7(3)'!#REF!,'3Ⅱ-7(3)'!#REF!,'3Ⅱ-7(3)'!#REF!</definedName>
    <definedName name="Z_F9C741D3_857A_48CE_BAE4_522350C14D22_.wvu.PrintArea" localSheetId="2" hidden="1">'3Ⅱ-3'!$A$1:$N$47</definedName>
    <definedName name="Z_F9C741D3_857A_48CE_BAE4_522350C14D22_.wvu.Rows" localSheetId="2" hidden="1">'3Ⅱ-3'!$6:$17</definedName>
    <definedName name="Z_FB6125FC_FC8F_4F10_8946_A43C486BA62D_.wvu.PrintArea" localSheetId="2" hidden="1">'3Ⅱ-3'!$A$1:$N$47</definedName>
    <definedName name="Z_FB6125FC_FC8F_4F10_8946_A43C486BA62D_.wvu.Rows" localSheetId="2" hidden="1">'3Ⅱ-3'!$6:$17</definedName>
    <definedName name="Z_FDC79450_789F_4824_8FFF_7E8BF65651E2_.wvu.Cols" localSheetId="0" hidden="1">'3Ⅱ-1'!#REF!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" i="10" l="1"/>
  <c r="E77" i="10"/>
  <c r="D77" i="10"/>
  <c r="G77" i="10" s="1"/>
  <c r="F76" i="10"/>
  <c r="E76" i="10"/>
  <c r="D76" i="10"/>
  <c r="G76" i="10" s="1"/>
  <c r="F75" i="10"/>
  <c r="E75" i="10"/>
  <c r="D75" i="10"/>
  <c r="G75" i="10" s="1"/>
  <c r="F74" i="10"/>
  <c r="E74" i="10"/>
  <c r="D74" i="10"/>
  <c r="G74" i="10" s="1"/>
  <c r="F73" i="10"/>
  <c r="E73" i="10"/>
  <c r="D73" i="10"/>
  <c r="G73" i="10" s="1"/>
  <c r="F72" i="10"/>
  <c r="E72" i="10"/>
  <c r="D72" i="10"/>
  <c r="G72" i="10" s="1"/>
  <c r="F71" i="10"/>
  <c r="E71" i="10"/>
  <c r="D71" i="10"/>
  <c r="G71" i="10" s="1"/>
  <c r="F70" i="10"/>
  <c r="E70" i="10"/>
  <c r="G69" i="10"/>
  <c r="F69" i="10"/>
  <c r="E69" i="10"/>
  <c r="D69" i="10"/>
  <c r="G70" i="10" s="1"/>
  <c r="G68" i="10"/>
  <c r="F68" i="10"/>
  <c r="E68" i="10"/>
  <c r="D68" i="10"/>
  <c r="G67" i="10"/>
  <c r="F67" i="10"/>
  <c r="E67" i="10"/>
  <c r="D67" i="10"/>
  <c r="G66" i="10"/>
  <c r="F66" i="10"/>
  <c r="E66" i="10"/>
  <c r="D66" i="10"/>
  <c r="G65" i="10"/>
  <c r="F65" i="10"/>
  <c r="E65" i="10"/>
  <c r="D65" i="10"/>
  <c r="G64" i="10"/>
  <c r="F64" i="10"/>
  <c r="E64" i="10"/>
  <c r="D64" i="10"/>
  <c r="G63" i="10"/>
  <c r="F63" i="10"/>
  <c r="E63" i="10"/>
  <c r="D63" i="10"/>
  <c r="G62" i="10"/>
  <c r="F62" i="10"/>
  <c r="E62" i="10"/>
  <c r="D62" i="10"/>
  <c r="G61" i="10"/>
  <c r="F61" i="10"/>
  <c r="E61" i="10"/>
  <c r="D61" i="10"/>
  <c r="G60" i="10"/>
  <c r="F60" i="10"/>
  <c r="E60" i="10"/>
  <c r="D60" i="10"/>
  <c r="F59" i="10"/>
  <c r="E59" i="10"/>
  <c r="D59" i="10"/>
  <c r="D58" i="10"/>
  <c r="G59" i="10" s="1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G26" i="10"/>
  <c r="F26" i="10"/>
  <c r="E26" i="10"/>
  <c r="D26" i="10"/>
  <c r="G25" i="10"/>
  <c r="F25" i="10"/>
  <c r="E25" i="10"/>
  <c r="D25" i="10"/>
  <c r="G24" i="10"/>
  <c r="F24" i="10"/>
  <c r="E24" i="10"/>
  <c r="D24" i="10"/>
  <c r="G23" i="10"/>
  <c r="F23" i="10"/>
  <c r="E23" i="10"/>
  <c r="D23" i="10"/>
  <c r="G22" i="10"/>
  <c r="F22" i="10"/>
  <c r="E22" i="10"/>
  <c r="D22" i="10"/>
  <c r="G21" i="10"/>
  <c r="F21" i="10"/>
  <c r="E21" i="10"/>
  <c r="D21" i="10"/>
  <c r="G20" i="10"/>
  <c r="F20" i="10"/>
  <c r="E20" i="10"/>
  <c r="D20" i="10"/>
  <c r="G19" i="10"/>
  <c r="F19" i="10"/>
  <c r="E19" i="10"/>
  <c r="D19" i="10"/>
  <c r="G18" i="10"/>
  <c r="F18" i="10"/>
  <c r="E18" i="10"/>
  <c r="D18" i="10"/>
  <c r="G17" i="10"/>
  <c r="F17" i="10"/>
  <c r="E17" i="10"/>
  <c r="D17" i="10"/>
  <c r="G16" i="10"/>
  <c r="F16" i="10"/>
  <c r="E16" i="10"/>
  <c r="D16" i="10"/>
  <c r="G15" i="10"/>
  <c r="F15" i="10"/>
  <c r="E15" i="10"/>
  <c r="D15" i="10"/>
  <c r="G14" i="10"/>
  <c r="F14" i="10"/>
  <c r="E14" i="10"/>
  <c r="D14" i="10"/>
  <c r="G13" i="10"/>
  <c r="F13" i="10"/>
  <c r="E13" i="10"/>
  <c r="D13" i="10"/>
  <c r="G12" i="10"/>
  <c r="F12" i="10"/>
  <c r="E12" i="10"/>
  <c r="D12" i="10"/>
  <c r="G11" i="10"/>
  <c r="F11" i="10"/>
  <c r="E11" i="10"/>
  <c r="D11" i="10"/>
  <c r="G10" i="10"/>
  <c r="F10" i="10"/>
  <c r="E10" i="10"/>
  <c r="D10" i="10"/>
  <c r="G9" i="10"/>
  <c r="F9" i="10"/>
  <c r="E9" i="10"/>
  <c r="D9" i="10"/>
  <c r="F8" i="10"/>
  <c r="E8" i="10"/>
  <c r="D8" i="10"/>
  <c r="D7" i="10"/>
  <c r="G8" i="10" s="1"/>
  <c r="E64" i="9"/>
  <c r="H64" i="9" s="1"/>
  <c r="D64" i="9"/>
  <c r="G64" i="9" s="1"/>
  <c r="C64" i="9"/>
  <c r="F64" i="9" s="1"/>
  <c r="H63" i="9"/>
  <c r="G63" i="9"/>
  <c r="F63" i="9"/>
  <c r="H62" i="9"/>
  <c r="G62" i="9"/>
  <c r="F62" i="9"/>
  <c r="E61" i="9"/>
  <c r="H61" i="9" s="1"/>
  <c r="D61" i="9"/>
  <c r="G61" i="9" s="1"/>
  <c r="C61" i="9"/>
  <c r="H60" i="9"/>
  <c r="G60" i="9"/>
  <c r="F60" i="9"/>
  <c r="H59" i="9"/>
  <c r="G59" i="9"/>
  <c r="F59" i="9"/>
  <c r="E58" i="9"/>
  <c r="H58" i="9" s="1"/>
  <c r="D58" i="9"/>
  <c r="G58" i="9" s="1"/>
  <c r="C58" i="9"/>
  <c r="F61" i="9" s="1"/>
  <c r="H57" i="9"/>
  <c r="G57" i="9"/>
  <c r="F57" i="9"/>
  <c r="H56" i="9"/>
  <c r="G56" i="9"/>
  <c r="F56" i="9"/>
  <c r="E55" i="9"/>
  <c r="H55" i="9" s="1"/>
  <c r="D55" i="9"/>
  <c r="C55" i="9"/>
  <c r="F58" i="9" s="1"/>
  <c r="H54" i="9"/>
  <c r="G54" i="9"/>
  <c r="F54" i="9"/>
  <c r="H53" i="9"/>
  <c r="G53" i="9"/>
  <c r="F53" i="9"/>
  <c r="E52" i="9"/>
  <c r="H52" i="9" s="1"/>
  <c r="D52" i="9"/>
  <c r="G52" i="9" s="1"/>
  <c r="C52" i="9"/>
  <c r="H51" i="9"/>
  <c r="G51" i="9"/>
  <c r="F51" i="9"/>
  <c r="H50" i="9"/>
  <c r="G50" i="9"/>
  <c r="F50" i="9"/>
  <c r="E49" i="9"/>
  <c r="H49" i="9" s="1"/>
  <c r="D49" i="9"/>
  <c r="G55" i="9" s="1"/>
  <c r="C49" i="9"/>
  <c r="F55" i="9" s="1"/>
  <c r="H48" i="9"/>
  <c r="G48" i="9"/>
  <c r="F48" i="9"/>
  <c r="H47" i="9"/>
  <c r="G47" i="9"/>
  <c r="F47" i="9"/>
  <c r="E46" i="9"/>
  <c r="H46" i="9" s="1"/>
  <c r="D46" i="9"/>
  <c r="C46" i="9"/>
  <c r="F49" i="9" s="1"/>
  <c r="H45" i="9"/>
  <c r="G45" i="9"/>
  <c r="F45" i="9"/>
  <c r="H44" i="9"/>
  <c r="G44" i="9"/>
  <c r="F44" i="9"/>
  <c r="E43" i="9"/>
  <c r="H43" i="9" s="1"/>
  <c r="D43" i="9"/>
  <c r="G46" i="9" s="1"/>
  <c r="C43" i="9"/>
  <c r="F46" i="9" s="1"/>
  <c r="H42" i="9"/>
  <c r="G42" i="9"/>
  <c r="F42" i="9"/>
  <c r="H41" i="9"/>
  <c r="G41" i="9"/>
  <c r="F41" i="9"/>
  <c r="E40" i="9"/>
  <c r="H40" i="9" s="1"/>
  <c r="D40" i="9"/>
  <c r="G43" i="9" s="1"/>
  <c r="C40" i="9"/>
  <c r="F43" i="9" s="1"/>
  <c r="H39" i="9"/>
  <c r="G39" i="9"/>
  <c r="F39" i="9"/>
  <c r="H38" i="9"/>
  <c r="G38" i="9"/>
  <c r="F38" i="9"/>
  <c r="E37" i="9"/>
  <c r="H37" i="9" s="1"/>
  <c r="D37" i="9"/>
  <c r="G40" i="9" s="1"/>
  <c r="C37" i="9"/>
  <c r="F40" i="9" s="1"/>
  <c r="H36" i="9"/>
  <c r="G36" i="9"/>
  <c r="F36" i="9"/>
  <c r="H35" i="9"/>
  <c r="G35" i="9"/>
  <c r="F35" i="9"/>
  <c r="E34" i="9"/>
  <c r="H34" i="9" s="1"/>
  <c r="D34" i="9"/>
  <c r="G37" i="9" s="1"/>
  <c r="C34" i="9"/>
  <c r="F37" i="9" s="1"/>
  <c r="H33" i="9"/>
  <c r="G33" i="9"/>
  <c r="F33" i="9"/>
  <c r="H32" i="9"/>
  <c r="G32" i="9"/>
  <c r="F32" i="9"/>
  <c r="E31" i="9"/>
  <c r="H31" i="9" s="1"/>
  <c r="D31" i="9"/>
  <c r="G34" i="9" s="1"/>
  <c r="C31" i="9"/>
  <c r="F34" i="9" s="1"/>
  <c r="H30" i="9"/>
  <c r="G30" i="9"/>
  <c r="F30" i="9"/>
  <c r="H29" i="9"/>
  <c r="G29" i="9"/>
  <c r="F29" i="9"/>
  <c r="F28" i="9"/>
  <c r="E28" i="9"/>
  <c r="H28" i="9" s="1"/>
  <c r="D28" i="9"/>
  <c r="G31" i="9" s="1"/>
  <c r="C28" i="9"/>
  <c r="F31" i="9" s="1"/>
  <c r="H27" i="9"/>
  <c r="G27" i="9"/>
  <c r="F27" i="9"/>
  <c r="H26" i="9"/>
  <c r="G26" i="9"/>
  <c r="F26" i="9"/>
  <c r="F25" i="9"/>
  <c r="E25" i="9"/>
  <c r="H25" i="9" s="1"/>
  <c r="D25" i="9"/>
  <c r="G28" i="9" s="1"/>
  <c r="C25" i="9"/>
  <c r="H24" i="9"/>
  <c r="G24" i="9"/>
  <c r="F24" i="9"/>
  <c r="H23" i="9"/>
  <c r="G23" i="9"/>
  <c r="F23" i="9"/>
  <c r="F22" i="9"/>
  <c r="E22" i="9"/>
  <c r="H22" i="9" s="1"/>
  <c r="D22" i="9"/>
  <c r="G25" i="9" s="1"/>
  <c r="C22" i="9"/>
  <c r="H21" i="9"/>
  <c r="G21" i="9"/>
  <c r="F21" i="9"/>
  <c r="H20" i="9"/>
  <c r="G20" i="9"/>
  <c r="F20" i="9"/>
  <c r="E19" i="9"/>
  <c r="H19" i="9" s="1"/>
  <c r="D19" i="9"/>
  <c r="G22" i="9" s="1"/>
  <c r="C19" i="9"/>
  <c r="H18" i="9"/>
  <c r="G18" i="9"/>
  <c r="F18" i="9"/>
  <c r="H17" i="9"/>
  <c r="G17" i="9"/>
  <c r="F17" i="9"/>
  <c r="G16" i="9"/>
  <c r="E16" i="9"/>
  <c r="H16" i="9" s="1"/>
  <c r="D16" i="9"/>
  <c r="G19" i="9" s="1"/>
  <c r="C16" i="9"/>
  <c r="F19" i="9" s="1"/>
  <c r="H15" i="9"/>
  <c r="G15" i="9"/>
  <c r="F15" i="9"/>
  <c r="H14" i="9"/>
  <c r="G14" i="9"/>
  <c r="F14" i="9"/>
  <c r="G13" i="9"/>
  <c r="E13" i="9"/>
  <c r="H13" i="9" s="1"/>
  <c r="D13" i="9"/>
  <c r="C13" i="9"/>
  <c r="F13" i="9" s="1"/>
  <c r="H12" i="9"/>
  <c r="G12" i="9"/>
  <c r="F12" i="9"/>
  <c r="H11" i="9"/>
  <c r="G11" i="9"/>
  <c r="F11" i="9"/>
  <c r="E10" i="9"/>
  <c r="H10" i="9" s="1"/>
  <c r="D10" i="9"/>
  <c r="C10" i="9"/>
  <c r="F10" i="9" s="1"/>
  <c r="H9" i="9"/>
  <c r="G9" i="9"/>
  <c r="F9" i="9"/>
  <c r="H8" i="9"/>
  <c r="G8" i="9"/>
  <c r="F8" i="9"/>
  <c r="E7" i="9"/>
  <c r="D7" i="9"/>
  <c r="G10" i="9" s="1"/>
  <c r="C7" i="9"/>
  <c r="AG63" i="8"/>
  <c r="Y63" i="8"/>
  <c r="U63" i="8"/>
  <c r="F63" i="8"/>
  <c r="F64" i="8" s="1"/>
  <c r="E63" i="8"/>
  <c r="E64" i="8" s="1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AP20" i="8"/>
  <c r="AP63" i="8" s="1"/>
  <c r="AO20" i="8"/>
  <c r="AO63" i="8" s="1"/>
  <c r="AN20" i="8"/>
  <c r="AM20" i="8"/>
  <c r="AL20" i="8"/>
  <c r="AK20" i="8"/>
  <c r="AK63" i="8" s="1"/>
  <c r="AF20" i="8"/>
  <c r="AE20" i="8"/>
  <c r="AD20" i="8"/>
  <c r="AC20" i="8"/>
  <c r="AC63" i="8" s="1"/>
  <c r="T20" i="8"/>
  <c r="S20" i="8"/>
  <c r="R20" i="8"/>
  <c r="Q20" i="8"/>
  <c r="Q63" i="8" s="1"/>
  <c r="P20" i="8"/>
  <c r="O20" i="8"/>
  <c r="N20" i="8"/>
  <c r="M20" i="8"/>
  <c r="M63" i="8" s="1"/>
  <c r="L20" i="8"/>
  <c r="K20" i="8"/>
  <c r="J20" i="8"/>
  <c r="I20" i="8"/>
  <c r="I63" i="8" s="1"/>
  <c r="H20" i="8"/>
  <c r="G20" i="8"/>
  <c r="AN14" i="8"/>
  <c r="AN63" i="8" s="1"/>
  <c r="AN64" i="8" s="1"/>
  <c r="AM14" i="8"/>
  <c r="AM63" i="8" s="1"/>
  <c r="AM64" i="8" s="1"/>
  <c r="AL14" i="8"/>
  <c r="AL63" i="8" s="1"/>
  <c r="AK14" i="8"/>
  <c r="AJ14" i="8"/>
  <c r="AJ63" i="8" s="1"/>
  <c r="AJ64" i="8" s="1"/>
  <c r="AI14" i="8"/>
  <c r="AI63" i="8" s="1"/>
  <c r="AH14" i="8"/>
  <c r="AH63" i="8" s="1"/>
  <c r="AG14" i="8"/>
  <c r="AF14" i="8"/>
  <c r="AF63" i="8" s="1"/>
  <c r="AF64" i="8" s="1"/>
  <c r="AE14" i="8"/>
  <c r="AE63" i="8" s="1"/>
  <c r="AE64" i="8" s="1"/>
  <c r="AD14" i="8"/>
  <c r="AD63" i="8" s="1"/>
  <c r="AC14" i="8"/>
  <c r="AB14" i="8"/>
  <c r="AB63" i="8" s="1"/>
  <c r="AB64" i="8" s="1"/>
  <c r="AA14" i="8"/>
  <c r="AA63" i="8" s="1"/>
  <c r="AA64" i="8" s="1"/>
  <c r="Z14" i="8"/>
  <c r="Z63" i="8" s="1"/>
  <c r="Y14" i="8"/>
  <c r="X14" i="8"/>
  <c r="X63" i="8" s="1"/>
  <c r="X64" i="8" s="1"/>
  <c r="W14" i="8"/>
  <c r="W63" i="8" s="1"/>
  <c r="W64" i="8" s="1"/>
  <c r="V14" i="8"/>
  <c r="V63" i="8" s="1"/>
  <c r="U14" i="8"/>
  <c r="T14" i="8"/>
  <c r="T63" i="8" s="1"/>
  <c r="T64" i="8" s="1"/>
  <c r="S14" i="8"/>
  <c r="S63" i="8" s="1"/>
  <c r="S64" i="8" s="1"/>
  <c r="R14" i="8"/>
  <c r="R63" i="8" s="1"/>
  <c r="Q14" i="8"/>
  <c r="P14" i="8"/>
  <c r="P63" i="8" s="1"/>
  <c r="P64" i="8" s="1"/>
  <c r="O14" i="8"/>
  <c r="O63" i="8" s="1"/>
  <c r="O64" i="8" s="1"/>
  <c r="N14" i="8"/>
  <c r="N63" i="8" s="1"/>
  <c r="M14" i="8"/>
  <c r="L14" i="8"/>
  <c r="L63" i="8" s="1"/>
  <c r="L64" i="8" s="1"/>
  <c r="K14" i="8"/>
  <c r="K63" i="8" s="1"/>
  <c r="K64" i="8" s="1"/>
  <c r="J14" i="8"/>
  <c r="J63" i="8" s="1"/>
  <c r="I14" i="8"/>
  <c r="H14" i="8"/>
  <c r="H63" i="8" s="1"/>
  <c r="H64" i="8" s="1"/>
  <c r="G14" i="8"/>
  <c r="G63" i="8" s="1"/>
  <c r="G64" i="8" s="1"/>
  <c r="F16" i="9" l="1"/>
  <c r="F52" i="9"/>
  <c r="G49" i="9"/>
  <c r="AP64" i="8"/>
  <c r="U64" i="8"/>
  <c r="J64" i="8"/>
  <c r="N64" i="8"/>
  <c r="R64" i="8"/>
  <c r="V64" i="8"/>
  <c r="Z64" i="8"/>
  <c r="AD64" i="8"/>
  <c r="AH64" i="8"/>
  <c r="AL64" i="8"/>
  <c r="Y64" i="8"/>
  <c r="AI64" i="8"/>
  <c r="I64" i="8"/>
  <c r="M64" i="8"/>
  <c r="Q64" i="8"/>
  <c r="AC64" i="8"/>
  <c r="AK64" i="8"/>
  <c r="AO64" i="8"/>
  <c r="AG64" i="8"/>
  <c r="AE40" i="7" l="1"/>
  <c r="AP39" i="7"/>
  <c r="AP40" i="7" s="1"/>
  <c r="AO39" i="7"/>
  <c r="AO40" i="7" s="1"/>
  <c r="AN39" i="7"/>
  <c r="AN40" i="7" s="1"/>
  <c r="AM39" i="7"/>
  <c r="AL39" i="7"/>
  <c r="AL40" i="7" s="1"/>
  <c r="AK39" i="7"/>
  <c r="AK40" i="7" s="1"/>
  <c r="AJ39" i="7"/>
  <c r="AJ40" i="7" s="1"/>
  <c r="AI39" i="7"/>
  <c r="AH39" i="7"/>
  <c r="AH40" i="7" s="1"/>
  <c r="AG39" i="7"/>
  <c r="AG40" i="7" s="1"/>
  <c r="AF39" i="7"/>
  <c r="AF40" i="7" s="1"/>
  <c r="AE39" i="7"/>
  <c r="AD39" i="7"/>
  <c r="AD40" i="7" s="1"/>
  <c r="AC39" i="7"/>
  <c r="AC40" i="7" s="1"/>
  <c r="AB39" i="7"/>
  <c r="AB40" i="7" s="1"/>
  <c r="AA39" i="7"/>
  <c r="Z39" i="7"/>
  <c r="Z40" i="7" s="1"/>
  <c r="Y39" i="7"/>
  <c r="Y40" i="7" s="1"/>
  <c r="X39" i="7"/>
  <c r="X40" i="7" s="1"/>
  <c r="W39" i="7"/>
  <c r="V39" i="7"/>
  <c r="V40" i="7" s="1"/>
  <c r="U39" i="7"/>
  <c r="U40" i="7" s="1"/>
  <c r="T39" i="7"/>
  <c r="T40" i="7" s="1"/>
  <c r="S39" i="7"/>
  <c r="R39" i="7"/>
  <c r="R40" i="7" s="1"/>
  <c r="Q39" i="7"/>
  <c r="Q40" i="7" s="1"/>
  <c r="P39" i="7"/>
  <c r="P40" i="7" s="1"/>
  <c r="O39" i="7"/>
  <c r="N39" i="7"/>
  <c r="N40" i="7" s="1"/>
  <c r="M39" i="7"/>
  <c r="M40" i="7" s="1"/>
  <c r="L39" i="7"/>
  <c r="L40" i="7" s="1"/>
  <c r="K39" i="7"/>
  <c r="J39" i="7"/>
  <c r="J40" i="7" s="1"/>
  <c r="I39" i="7"/>
  <c r="I40" i="7" s="1"/>
  <c r="H39" i="7"/>
  <c r="H40" i="7" s="1"/>
  <c r="G39" i="7"/>
  <c r="F39" i="7"/>
  <c r="F40" i="7" s="1"/>
  <c r="E39" i="7"/>
  <c r="E40" i="7" s="1"/>
  <c r="D39" i="7"/>
  <c r="C39" i="7"/>
  <c r="AP15" i="7"/>
  <c r="AO15" i="7"/>
  <c r="AL15" i="7"/>
  <c r="AL16" i="7" s="1"/>
  <c r="AK15" i="7"/>
  <c r="AJ15" i="7"/>
  <c r="AJ16" i="7" s="1"/>
  <c r="AI15" i="7"/>
  <c r="AI16" i="7" s="1"/>
  <c r="AH15" i="7"/>
  <c r="AH16" i="7" s="1"/>
  <c r="AG15" i="7"/>
  <c r="AF15" i="7"/>
  <c r="AF16" i="7" s="1"/>
  <c r="AE15" i="7"/>
  <c r="AE16" i="7" s="1"/>
  <c r="AD15" i="7"/>
  <c r="AD16" i="7" s="1"/>
  <c r="AC15" i="7"/>
  <c r="AB15" i="7"/>
  <c r="AB16" i="7" s="1"/>
  <c r="AA15" i="7"/>
  <c r="AA16" i="7" s="1"/>
  <c r="Z15" i="7"/>
  <c r="Z16" i="7" s="1"/>
  <c r="Y15" i="7"/>
  <c r="X15" i="7"/>
  <c r="X16" i="7" s="1"/>
  <c r="W15" i="7"/>
  <c r="W16" i="7" s="1"/>
  <c r="V15" i="7"/>
  <c r="V16" i="7" s="1"/>
  <c r="U15" i="7"/>
  <c r="T15" i="7"/>
  <c r="T16" i="7" s="1"/>
  <c r="S15" i="7"/>
  <c r="S16" i="7" s="1"/>
  <c r="R15" i="7"/>
  <c r="R16" i="7" s="1"/>
  <c r="Q15" i="7"/>
  <c r="P15" i="7"/>
  <c r="P16" i="7" s="1"/>
  <c r="O15" i="7"/>
  <c r="O16" i="7" s="1"/>
  <c r="N15" i="7"/>
  <c r="N16" i="7" s="1"/>
  <c r="M15" i="7"/>
  <c r="L15" i="7"/>
  <c r="L16" i="7" s="1"/>
  <c r="K15" i="7"/>
  <c r="K16" i="7" s="1"/>
  <c r="J15" i="7"/>
  <c r="J16" i="7" s="1"/>
  <c r="I15" i="7"/>
  <c r="H15" i="7"/>
  <c r="H16" i="7" s="1"/>
  <c r="G15" i="7"/>
  <c r="G16" i="7" s="1"/>
  <c r="F15" i="7"/>
  <c r="F16" i="7" s="1"/>
  <c r="E15" i="7"/>
  <c r="D15" i="7"/>
  <c r="C15" i="7"/>
  <c r="E16" i="7" s="1"/>
  <c r="AN12" i="7"/>
  <c r="AM12" i="7"/>
  <c r="AN11" i="7"/>
  <c r="AM11" i="7"/>
  <c r="AM15" i="7" s="1"/>
  <c r="AN10" i="7"/>
  <c r="AN15" i="7" s="1"/>
  <c r="AN16" i="7" s="1"/>
  <c r="AM10" i="7"/>
  <c r="P51" i="6"/>
  <c r="P49" i="6"/>
  <c r="R47" i="6"/>
  <c r="Q47" i="6"/>
  <c r="R45" i="6"/>
  <c r="Q45" i="6"/>
  <c r="R43" i="6"/>
  <c r="Q43" i="6"/>
  <c r="P43" i="6"/>
  <c r="O43" i="6"/>
  <c r="N43" i="6"/>
  <c r="M43" i="6"/>
  <c r="L43" i="6"/>
  <c r="K43" i="6"/>
  <c r="J43" i="6"/>
  <c r="I43" i="6"/>
  <c r="R41" i="6"/>
  <c r="Q41" i="6"/>
  <c r="P41" i="6"/>
  <c r="O41" i="6"/>
  <c r="N41" i="6"/>
  <c r="M41" i="6"/>
  <c r="L41" i="6"/>
  <c r="K41" i="6"/>
  <c r="J41" i="6"/>
  <c r="I41" i="6"/>
  <c r="N39" i="6"/>
  <c r="M39" i="6"/>
  <c r="L39" i="6"/>
  <c r="K39" i="6"/>
  <c r="J39" i="6"/>
  <c r="I39" i="6"/>
  <c r="H39" i="6"/>
  <c r="N37" i="6"/>
  <c r="M37" i="6"/>
  <c r="L37" i="6"/>
  <c r="K37" i="6"/>
  <c r="J37" i="6"/>
  <c r="I37" i="6"/>
  <c r="H37" i="6"/>
  <c r="V35" i="6"/>
  <c r="U35" i="6"/>
  <c r="N35" i="6"/>
  <c r="M35" i="6"/>
  <c r="L35" i="6"/>
  <c r="K35" i="6"/>
  <c r="J35" i="6"/>
  <c r="I35" i="6"/>
  <c r="H35" i="6"/>
  <c r="V33" i="6"/>
  <c r="U33" i="6"/>
  <c r="N33" i="6"/>
  <c r="M33" i="6"/>
  <c r="L33" i="6"/>
  <c r="K33" i="6"/>
  <c r="J33" i="6"/>
  <c r="I33" i="6"/>
  <c r="H33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V27" i="6"/>
  <c r="U27" i="6"/>
  <c r="T27" i="6"/>
  <c r="S27" i="6"/>
  <c r="R27" i="6"/>
  <c r="Q27" i="6"/>
  <c r="P27" i="6"/>
  <c r="M27" i="6"/>
  <c r="L27" i="6"/>
  <c r="K27" i="6"/>
  <c r="J27" i="6"/>
  <c r="I27" i="6"/>
  <c r="H27" i="6"/>
  <c r="V25" i="6"/>
  <c r="U25" i="6"/>
  <c r="T25" i="6"/>
  <c r="S25" i="6"/>
  <c r="R25" i="6"/>
  <c r="Q25" i="6"/>
  <c r="P25" i="6"/>
  <c r="M25" i="6"/>
  <c r="L25" i="6"/>
  <c r="K25" i="6"/>
  <c r="J25" i="6"/>
  <c r="I25" i="6"/>
  <c r="H25" i="6"/>
  <c r="M23" i="6"/>
  <c r="P22" i="6"/>
  <c r="P23" i="6" s="1"/>
  <c r="N22" i="6"/>
  <c r="N23" i="6" s="1"/>
  <c r="M21" i="6"/>
  <c r="P20" i="6"/>
  <c r="P21" i="6" s="1"/>
  <c r="N20" i="6"/>
  <c r="O21" i="6" s="1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E19" i="6"/>
  <c r="D19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E17" i="6"/>
  <c r="D17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E15" i="6"/>
  <c r="D15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E13" i="6"/>
  <c r="D13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F116" i="5"/>
  <c r="E116" i="5"/>
  <c r="D116" i="5"/>
  <c r="C116" i="5"/>
  <c r="B116" i="5"/>
  <c r="D104" i="5"/>
  <c r="F104" i="5" s="1"/>
  <c r="C104" i="5"/>
  <c r="E104" i="5" s="1"/>
  <c r="F102" i="5"/>
  <c r="E102" i="5"/>
  <c r="F101" i="5"/>
  <c r="E101" i="5"/>
  <c r="D100" i="5"/>
  <c r="F100" i="5" s="1"/>
  <c r="C100" i="5"/>
  <c r="E100" i="5" s="1"/>
  <c r="F98" i="5"/>
  <c r="E98" i="5"/>
  <c r="F97" i="5"/>
  <c r="E97" i="5"/>
  <c r="D96" i="5"/>
  <c r="F96" i="5" s="1"/>
  <c r="C96" i="5"/>
  <c r="E96" i="5" s="1"/>
  <c r="F94" i="5"/>
  <c r="E94" i="5"/>
  <c r="F93" i="5"/>
  <c r="E93" i="5"/>
  <c r="D92" i="5"/>
  <c r="F92" i="5" s="1"/>
  <c r="C92" i="5"/>
  <c r="E92" i="5" s="1"/>
  <c r="F90" i="5"/>
  <c r="E90" i="5"/>
  <c r="F89" i="5"/>
  <c r="E89" i="5"/>
  <c r="D88" i="5"/>
  <c r="F88" i="5" s="1"/>
  <c r="C88" i="5"/>
  <c r="E88" i="5" s="1"/>
  <c r="F86" i="5"/>
  <c r="E86" i="5"/>
  <c r="F85" i="5"/>
  <c r="E85" i="5"/>
  <c r="D84" i="5"/>
  <c r="F84" i="5" s="1"/>
  <c r="C84" i="5"/>
  <c r="E84" i="5" s="1"/>
  <c r="F82" i="5"/>
  <c r="E82" i="5"/>
  <c r="F81" i="5"/>
  <c r="E81" i="5"/>
  <c r="D80" i="5"/>
  <c r="F80" i="5" s="1"/>
  <c r="C80" i="5"/>
  <c r="E80" i="5" s="1"/>
  <c r="F78" i="5"/>
  <c r="E78" i="5"/>
  <c r="F77" i="5"/>
  <c r="E77" i="5"/>
  <c r="D76" i="5"/>
  <c r="F76" i="5" s="1"/>
  <c r="C76" i="5"/>
  <c r="E76" i="5" s="1"/>
  <c r="F74" i="5"/>
  <c r="E74" i="5"/>
  <c r="F73" i="5"/>
  <c r="E73" i="5"/>
  <c r="D72" i="5"/>
  <c r="F72" i="5" s="1"/>
  <c r="C72" i="5"/>
  <c r="E72" i="5" s="1"/>
  <c r="F70" i="5"/>
  <c r="E70" i="5"/>
  <c r="F69" i="5"/>
  <c r="E69" i="5"/>
  <c r="D68" i="5"/>
  <c r="F68" i="5" s="1"/>
  <c r="C68" i="5"/>
  <c r="E68" i="5" s="1"/>
  <c r="F66" i="5"/>
  <c r="E66" i="5"/>
  <c r="F65" i="5"/>
  <c r="E65" i="5"/>
  <c r="D64" i="5"/>
  <c r="F64" i="5" s="1"/>
  <c r="C64" i="5"/>
  <c r="E64" i="5" s="1"/>
  <c r="F62" i="5"/>
  <c r="E62" i="5"/>
  <c r="F61" i="5"/>
  <c r="E61" i="5"/>
  <c r="D60" i="5"/>
  <c r="F60" i="5" s="1"/>
  <c r="C60" i="5"/>
  <c r="E60" i="5" s="1"/>
  <c r="F58" i="5"/>
  <c r="E58" i="5"/>
  <c r="F57" i="5"/>
  <c r="E57" i="5"/>
  <c r="D56" i="5"/>
  <c r="F56" i="5" s="1"/>
  <c r="C56" i="5"/>
  <c r="E56" i="5" s="1"/>
  <c r="F55" i="5"/>
  <c r="E55" i="5"/>
  <c r="F54" i="5"/>
  <c r="E54" i="5"/>
  <c r="F53" i="5"/>
  <c r="E53" i="5"/>
  <c r="D52" i="5"/>
  <c r="C52" i="5"/>
  <c r="F51" i="5"/>
  <c r="E51" i="5"/>
  <c r="F50" i="5"/>
  <c r="E50" i="5"/>
  <c r="F49" i="5"/>
  <c r="E49" i="5"/>
  <c r="D48" i="5"/>
  <c r="F52" i="5" s="1"/>
  <c r="C48" i="5"/>
  <c r="E52" i="5" s="1"/>
  <c r="F47" i="5"/>
  <c r="E47" i="5"/>
  <c r="F46" i="5"/>
  <c r="E46" i="5"/>
  <c r="F45" i="5"/>
  <c r="E45" i="5"/>
  <c r="D44" i="5"/>
  <c r="C44" i="5"/>
  <c r="F43" i="5"/>
  <c r="E43" i="5"/>
  <c r="F42" i="5"/>
  <c r="E42" i="5"/>
  <c r="F41" i="5"/>
  <c r="E41" i="5"/>
  <c r="D40" i="5"/>
  <c r="F40" i="5" s="1"/>
  <c r="C40" i="5"/>
  <c r="E44" i="5" s="1"/>
  <c r="F39" i="5"/>
  <c r="E39" i="5"/>
  <c r="F38" i="5"/>
  <c r="E38" i="5"/>
  <c r="F37" i="5"/>
  <c r="E37" i="5"/>
  <c r="D36" i="5"/>
  <c r="C36" i="5"/>
  <c r="E36" i="5" s="1"/>
  <c r="F35" i="5"/>
  <c r="E35" i="5"/>
  <c r="F34" i="5"/>
  <c r="E34" i="5"/>
  <c r="F33" i="5"/>
  <c r="E33" i="5"/>
  <c r="D32" i="5"/>
  <c r="F36" i="5" s="1"/>
  <c r="C32" i="5"/>
  <c r="F31" i="5"/>
  <c r="E31" i="5"/>
  <c r="F30" i="5"/>
  <c r="E30" i="5"/>
  <c r="F29" i="5"/>
  <c r="E29" i="5"/>
  <c r="D28" i="5"/>
  <c r="C28" i="5"/>
  <c r="E28" i="5" s="1"/>
  <c r="F27" i="5"/>
  <c r="E27" i="5"/>
  <c r="F26" i="5"/>
  <c r="E26" i="5"/>
  <c r="F25" i="5"/>
  <c r="E25" i="5"/>
  <c r="D24" i="5"/>
  <c r="F24" i="5" s="1"/>
  <c r="C24" i="5"/>
  <c r="F23" i="5"/>
  <c r="E23" i="5"/>
  <c r="F22" i="5"/>
  <c r="E22" i="5"/>
  <c r="F21" i="5"/>
  <c r="E21" i="5"/>
  <c r="D20" i="5"/>
  <c r="C20" i="5"/>
  <c r="E20" i="5" s="1"/>
  <c r="F19" i="5"/>
  <c r="E19" i="5"/>
  <c r="F18" i="5"/>
  <c r="E18" i="5"/>
  <c r="F17" i="5"/>
  <c r="E17" i="5"/>
  <c r="D16" i="5"/>
  <c r="F20" i="5" s="1"/>
  <c r="C16" i="5"/>
  <c r="F15" i="5"/>
  <c r="E15" i="5"/>
  <c r="F14" i="5"/>
  <c r="E14" i="5"/>
  <c r="F13" i="5"/>
  <c r="E13" i="5"/>
  <c r="F12" i="5"/>
  <c r="D12" i="5"/>
  <c r="C12" i="5"/>
  <c r="E12" i="5" s="1"/>
  <c r="F11" i="5"/>
  <c r="E11" i="5"/>
  <c r="F10" i="5"/>
  <c r="E10" i="5"/>
  <c r="F9" i="5"/>
  <c r="E9" i="5"/>
  <c r="D8" i="5"/>
  <c r="C8" i="5"/>
  <c r="L92" i="4"/>
  <c r="J92" i="4"/>
  <c r="O92" i="4" s="1"/>
  <c r="I92" i="4"/>
  <c r="H92" i="4"/>
  <c r="H93" i="4" s="1"/>
  <c r="N93" i="4" s="1"/>
  <c r="G92" i="4"/>
  <c r="M92" i="4" s="1"/>
  <c r="F92" i="4"/>
  <c r="K92" i="4" s="1"/>
  <c r="E92" i="4"/>
  <c r="D92" i="4"/>
  <c r="D93" i="4" s="1"/>
  <c r="O91" i="4"/>
  <c r="N91" i="4"/>
  <c r="M91" i="4"/>
  <c r="L91" i="4"/>
  <c r="K91" i="4"/>
  <c r="O90" i="4"/>
  <c r="N90" i="4"/>
  <c r="M90" i="4"/>
  <c r="L90" i="4"/>
  <c r="K90" i="4"/>
  <c r="O89" i="4"/>
  <c r="N89" i="4"/>
  <c r="M89" i="4"/>
  <c r="L89" i="4"/>
  <c r="K89" i="4"/>
  <c r="O88" i="4"/>
  <c r="N88" i="4"/>
  <c r="M88" i="4"/>
  <c r="L88" i="4"/>
  <c r="K88" i="4"/>
  <c r="O87" i="4"/>
  <c r="N87" i="4"/>
  <c r="M87" i="4"/>
  <c r="L87" i="4"/>
  <c r="K87" i="4"/>
  <c r="M86" i="4"/>
  <c r="J86" i="4"/>
  <c r="J93" i="4" s="1"/>
  <c r="O93" i="4" s="1"/>
  <c r="I86" i="4"/>
  <c r="I93" i="4" s="1"/>
  <c r="H86" i="4"/>
  <c r="N86" i="4" s="1"/>
  <c r="G86" i="4"/>
  <c r="G93" i="4" s="1"/>
  <c r="M93" i="4" s="1"/>
  <c r="F86" i="4"/>
  <c r="F93" i="4" s="1"/>
  <c r="E86" i="4"/>
  <c r="L86" i="4" s="1"/>
  <c r="D86" i="4"/>
  <c r="O85" i="4"/>
  <c r="N85" i="4"/>
  <c r="M85" i="4"/>
  <c r="L85" i="4"/>
  <c r="K85" i="4"/>
  <c r="O84" i="4"/>
  <c r="N84" i="4"/>
  <c r="M84" i="4"/>
  <c r="L84" i="4"/>
  <c r="K84" i="4"/>
  <c r="O83" i="4"/>
  <c r="N83" i="4"/>
  <c r="M83" i="4"/>
  <c r="L83" i="4"/>
  <c r="K83" i="4"/>
  <c r="O82" i="4"/>
  <c r="N82" i="4"/>
  <c r="M82" i="4"/>
  <c r="L82" i="4"/>
  <c r="K82" i="4"/>
  <c r="O81" i="4"/>
  <c r="N81" i="4"/>
  <c r="M81" i="4"/>
  <c r="L81" i="4"/>
  <c r="K81" i="4"/>
  <c r="O80" i="4"/>
  <c r="N80" i="4"/>
  <c r="M80" i="4"/>
  <c r="L80" i="4"/>
  <c r="K80" i="4"/>
  <c r="O79" i="4"/>
  <c r="N79" i="4"/>
  <c r="M79" i="4"/>
  <c r="L79" i="4"/>
  <c r="K79" i="4"/>
  <c r="L78" i="4"/>
  <c r="J78" i="4"/>
  <c r="I78" i="4"/>
  <c r="H78" i="4"/>
  <c r="N78" i="4" s="1"/>
  <c r="G78" i="4"/>
  <c r="M78" i="4" s="1"/>
  <c r="F78" i="4"/>
  <c r="E78" i="4"/>
  <c r="D78" i="4"/>
  <c r="K78" i="4" s="1"/>
  <c r="O77" i="4"/>
  <c r="N77" i="4"/>
  <c r="M77" i="4"/>
  <c r="L77" i="4"/>
  <c r="K77" i="4"/>
  <c r="O76" i="4"/>
  <c r="N76" i="4"/>
  <c r="M76" i="4"/>
  <c r="L76" i="4"/>
  <c r="K76" i="4"/>
  <c r="J75" i="4"/>
  <c r="O78" i="4" s="1"/>
  <c r="I75" i="4"/>
  <c r="H75" i="4"/>
  <c r="G75" i="4"/>
  <c r="F75" i="4"/>
  <c r="K75" i="4" s="1"/>
  <c r="E75" i="4"/>
  <c r="L75" i="4" s="1"/>
  <c r="D75" i="4"/>
  <c r="O74" i="4"/>
  <c r="N74" i="4"/>
  <c r="M74" i="4"/>
  <c r="L74" i="4"/>
  <c r="K74" i="4"/>
  <c r="O73" i="4"/>
  <c r="N73" i="4"/>
  <c r="M73" i="4"/>
  <c r="L73" i="4"/>
  <c r="K73" i="4"/>
  <c r="L72" i="4"/>
  <c r="J72" i="4"/>
  <c r="I72" i="4"/>
  <c r="H72" i="4"/>
  <c r="N75" i="4" s="1"/>
  <c r="G72" i="4"/>
  <c r="M75" i="4" s="1"/>
  <c r="F72" i="4"/>
  <c r="E72" i="4"/>
  <c r="D72" i="4"/>
  <c r="K72" i="4" s="1"/>
  <c r="O71" i="4"/>
  <c r="N71" i="4"/>
  <c r="M71" i="4"/>
  <c r="L71" i="4"/>
  <c r="K71" i="4"/>
  <c r="O70" i="4"/>
  <c r="N70" i="4"/>
  <c r="M70" i="4"/>
  <c r="L70" i="4"/>
  <c r="K70" i="4"/>
  <c r="J69" i="4"/>
  <c r="O72" i="4" s="1"/>
  <c r="I69" i="4"/>
  <c r="H69" i="4"/>
  <c r="G69" i="4"/>
  <c r="F69" i="4"/>
  <c r="K69" i="4" s="1"/>
  <c r="E69" i="4"/>
  <c r="L69" i="4" s="1"/>
  <c r="D69" i="4"/>
  <c r="O68" i="4"/>
  <c r="N68" i="4"/>
  <c r="M68" i="4"/>
  <c r="L68" i="4"/>
  <c r="K68" i="4"/>
  <c r="O67" i="4"/>
  <c r="N67" i="4"/>
  <c r="M67" i="4"/>
  <c r="L67" i="4"/>
  <c r="K67" i="4"/>
  <c r="L66" i="4"/>
  <c r="J66" i="4"/>
  <c r="I66" i="4"/>
  <c r="H66" i="4"/>
  <c r="N66" i="4" s="1"/>
  <c r="G66" i="4"/>
  <c r="M69" i="4" s="1"/>
  <c r="F66" i="4"/>
  <c r="E66" i="4"/>
  <c r="D66" i="4"/>
  <c r="K66" i="4" s="1"/>
  <c r="O65" i="4"/>
  <c r="N65" i="4"/>
  <c r="M65" i="4"/>
  <c r="L65" i="4"/>
  <c r="K65" i="4"/>
  <c r="O64" i="4"/>
  <c r="N64" i="4"/>
  <c r="M64" i="4"/>
  <c r="L64" i="4"/>
  <c r="K64" i="4"/>
  <c r="J63" i="4"/>
  <c r="O66" i="4" s="1"/>
  <c r="I63" i="4"/>
  <c r="H63" i="4"/>
  <c r="G63" i="4"/>
  <c r="F63" i="4"/>
  <c r="K63" i="4" s="1"/>
  <c r="E63" i="4"/>
  <c r="L63" i="4" s="1"/>
  <c r="D63" i="4"/>
  <c r="O62" i="4"/>
  <c r="N62" i="4"/>
  <c r="M62" i="4"/>
  <c r="L62" i="4"/>
  <c r="K62" i="4"/>
  <c r="O61" i="4"/>
  <c r="N61" i="4"/>
  <c r="M61" i="4"/>
  <c r="L61" i="4"/>
  <c r="K61" i="4"/>
  <c r="L60" i="4"/>
  <c r="J60" i="4"/>
  <c r="I60" i="4"/>
  <c r="H60" i="4"/>
  <c r="N60" i="4" s="1"/>
  <c r="G60" i="4"/>
  <c r="M63" i="4" s="1"/>
  <c r="F60" i="4"/>
  <c r="E60" i="4"/>
  <c r="D60" i="4"/>
  <c r="K60" i="4" s="1"/>
  <c r="O59" i="4"/>
  <c r="N59" i="4"/>
  <c r="M59" i="4"/>
  <c r="L59" i="4"/>
  <c r="K59" i="4"/>
  <c r="O58" i="4"/>
  <c r="N58" i="4"/>
  <c r="M58" i="4"/>
  <c r="L58" i="4"/>
  <c r="K58" i="4"/>
  <c r="J57" i="4"/>
  <c r="O60" i="4" s="1"/>
  <c r="I57" i="4"/>
  <c r="H57" i="4"/>
  <c r="G57" i="4"/>
  <c r="F57" i="4"/>
  <c r="K57" i="4" s="1"/>
  <c r="E57" i="4"/>
  <c r="L57" i="4" s="1"/>
  <c r="D57" i="4"/>
  <c r="O56" i="4"/>
  <c r="N56" i="4"/>
  <c r="M56" i="4"/>
  <c r="L56" i="4"/>
  <c r="K56" i="4"/>
  <c r="O55" i="4"/>
  <c r="N55" i="4"/>
  <c r="M55" i="4"/>
  <c r="L55" i="4"/>
  <c r="K55" i="4"/>
  <c r="L54" i="4"/>
  <c r="J54" i="4"/>
  <c r="I54" i="4"/>
  <c r="H54" i="4"/>
  <c r="N54" i="4" s="1"/>
  <c r="G54" i="4"/>
  <c r="M57" i="4" s="1"/>
  <c r="F54" i="4"/>
  <c r="E54" i="4"/>
  <c r="D54" i="4"/>
  <c r="K54" i="4" s="1"/>
  <c r="O53" i="4"/>
  <c r="N53" i="4"/>
  <c r="M53" i="4"/>
  <c r="L53" i="4"/>
  <c r="K53" i="4"/>
  <c r="O52" i="4"/>
  <c r="N52" i="4"/>
  <c r="M52" i="4"/>
  <c r="L52" i="4"/>
  <c r="K52" i="4"/>
  <c r="J51" i="4"/>
  <c r="O54" i="4" s="1"/>
  <c r="I51" i="4"/>
  <c r="H51" i="4"/>
  <c r="G51" i="4"/>
  <c r="F51" i="4"/>
  <c r="K51" i="4" s="1"/>
  <c r="E51" i="4"/>
  <c r="L51" i="4" s="1"/>
  <c r="D51" i="4"/>
  <c r="O50" i="4"/>
  <c r="N50" i="4"/>
  <c r="M50" i="4"/>
  <c r="L50" i="4"/>
  <c r="K50" i="4"/>
  <c r="O49" i="4"/>
  <c r="N49" i="4"/>
  <c r="M49" i="4"/>
  <c r="L49" i="4"/>
  <c r="K49" i="4"/>
  <c r="L48" i="4"/>
  <c r="J48" i="4"/>
  <c r="I48" i="4"/>
  <c r="H48" i="4"/>
  <c r="N51" i="4" s="1"/>
  <c r="G48" i="4"/>
  <c r="M51" i="4" s="1"/>
  <c r="F48" i="4"/>
  <c r="E48" i="4"/>
  <c r="D48" i="4"/>
  <c r="K48" i="4" s="1"/>
  <c r="O47" i="4"/>
  <c r="N47" i="4"/>
  <c r="M47" i="4"/>
  <c r="L47" i="4"/>
  <c r="K47" i="4"/>
  <c r="O46" i="4"/>
  <c r="N46" i="4"/>
  <c r="M46" i="4"/>
  <c r="L46" i="4"/>
  <c r="K46" i="4"/>
  <c r="J45" i="4"/>
  <c r="O48" i="4" s="1"/>
  <c r="I45" i="4"/>
  <c r="H45" i="4"/>
  <c r="G45" i="4"/>
  <c r="F45" i="4"/>
  <c r="K45" i="4" s="1"/>
  <c r="E45" i="4"/>
  <c r="L45" i="4" s="1"/>
  <c r="D45" i="4"/>
  <c r="O44" i="4"/>
  <c r="N44" i="4"/>
  <c r="M44" i="4"/>
  <c r="L44" i="4"/>
  <c r="K44" i="4"/>
  <c r="O43" i="4"/>
  <c r="N43" i="4"/>
  <c r="M43" i="4"/>
  <c r="L43" i="4"/>
  <c r="K43" i="4"/>
  <c r="L42" i="4"/>
  <c r="J42" i="4"/>
  <c r="I42" i="4"/>
  <c r="H42" i="4"/>
  <c r="N45" i="4" s="1"/>
  <c r="G42" i="4"/>
  <c r="M45" i="4" s="1"/>
  <c r="F42" i="4"/>
  <c r="E42" i="4"/>
  <c r="D42" i="4"/>
  <c r="K42" i="4" s="1"/>
  <c r="O41" i="4"/>
  <c r="N41" i="4"/>
  <c r="M41" i="4"/>
  <c r="L41" i="4"/>
  <c r="K41" i="4"/>
  <c r="O40" i="4"/>
  <c r="N40" i="4"/>
  <c r="M40" i="4"/>
  <c r="L40" i="4"/>
  <c r="K40" i="4"/>
  <c r="J39" i="4"/>
  <c r="O42" i="4" s="1"/>
  <c r="I39" i="4"/>
  <c r="H39" i="4"/>
  <c r="G39" i="4"/>
  <c r="F39" i="4"/>
  <c r="K39" i="4" s="1"/>
  <c r="E39" i="4"/>
  <c r="L39" i="4" s="1"/>
  <c r="D39" i="4"/>
  <c r="O38" i="4"/>
  <c r="N38" i="4"/>
  <c r="M38" i="4"/>
  <c r="L38" i="4"/>
  <c r="K38" i="4"/>
  <c r="O37" i="4"/>
  <c r="N37" i="4"/>
  <c r="M37" i="4"/>
  <c r="L37" i="4"/>
  <c r="K37" i="4"/>
  <c r="L36" i="4"/>
  <c r="J36" i="4"/>
  <c r="O36" i="4" s="1"/>
  <c r="I36" i="4"/>
  <c r="H36" i="4"/>
  <c r="N39" i="4" s="1"/>
  <c r="G36" i="4"/>
  <c r="M39" i="4" s="1"/>
  <c r="F36" i="4"/>
  <c r="K36" i="4" s="1"/>
  <c r="E36" i="4"/>
  <c r="D36" i="4"/>
  <c r="O35" i="4"/>
  <c r="N35" i="4"/>
  <c r="M35" i="4"/>
  <c r="L35" i="4"/>
  <c r="K35" i="4"/>
  <c r="O34" i="4"/>
  <c r="N34" i="4"/>
  <c r="M34" i="4"/>
  <c r="L34" i="4"/>
  <c r="K34" i="4"/>
  <c r="J33" i="4"/>
  <c r="O33" i="4" s="1"/>
  <c r="I33" i="4"/>
  <c r="H33" i="4"/>
  <c r="G33" i="4"/>
  <c r="M33" i="4" s="1"/>
  <c r="F33" i="4"/>
  <c r="K33" i="4" s="1"/>
  <c r="E33" i="4"/>
  <c r="L33" i="4" s="1"/>
  <c r="D33" i="4"/>
  <c r="O32" i="4"/>
  <c r="N32" i="4"/>
  <c r="M32" i="4"/>
  <c r="L32" i="4"/>
  <c r="K32" i="4"/>
  <c r="O31" i="4"/>
  <c r="N31" i="4"/>
  <c r="M31" i="4"/>
  <c r="L31" i="4"/>
  <c r="K31" i="4"/>
  <c r="L30" i="4"/>
  <c r="J30" i="4"/>
  <c r="O30" i="4" s="1"/>
  <c r="I30" i="4"/>
  <c r="H30" i="4"/>
  <c r="N33" i="4" s="1"/>
  <c r="G30" i="4"/>
  <c r="M30" i="4" s="1"/>
  <c r="F30" i="4"/>
  <c r="K30" i="4" s="1"/>
  <c r="E30" i="4"/>
  <c r="D30" i="4"/>
  <c r="O29" i="4"/>
  <c r="N29" i="4"/>
  <c r="M29" i="4"/>
  <c r="L29" i="4"/>
  <c r="O28" i="4"/>
  <c r="N28" i="4"/>
  <c r="M28" i="4"/>
  <c r="L28" i="4"/>
  <c r="L27" i="4"/>
  <c r="J27" i="4"/>
  <c r="O27" i="4" s="1"/>
  <c r="I27" i="4"/>
  <c r="H27" i="4"/>
  <c r="N27" i="4" s="1"/>
  <c r="G27" i="4"/>
  <c r="M27" i="4" s="1"/>
  <c r="F27" i="4"/>
  <c r="K27" i="4" s="1"/>
  <c r="E27" i="4"/>
  <c r="D27" i="4"/>
  <c r="O26" i="4"/>
  <c r="N26" i="4"/>
  <c r="M26" i="4"/>
  <c r="L26" i="4"/>
  <c r="K26" i="4"/>
  <c r="O25" i="4"/>
  <c r="N25" i="4"/>
  <c r="M25" i="4"/>
  <c r="L25" i="4"/>
  <c r="K25" i="4"/>
  <c r="J24" i="4"/>
  <c r="O24" i="4" s="1"/>
  <c r="I24" i="4"/>
  <c r="H24" i="4"/>
  <c r="G24" i="4"/>
  <c r="M24" i="4" s="1"/>
  <c r="F24" i="4"/>
  <c r="K24" i="4" s="1"/>
  <c r="E24" i="4"/>
  <c r="L24" i="4" s="1"/>
  <c r="D24" i="4"/>
  <c r="O23" i="4"/>
  <c r="N23" i="4"/>
  <c r="M23" i="4"/>
  <c r="L23" i="4"/>
  <c r="K23" i="4"/>
  <c r="O22" i="4"/>
  <c r="N22" i="4"/>
  <c r="M22" i="4"/>
  <c r="L22" i="4"/>
  <c r="K22" i="4"/>
  <c r="L21" i="4"/>
  <c r="J21" i="4"/>
  <c r="O21" i="4" s="1"/>
  <c r="I21" i="4"/>
  <c r="H21" i="4"/>
  <c r="N21" i="4" s="1"/>
  <c r="G21" i="4"/>
  <c r="M21" i="4" s="1"/>
  <c r="F21" i="4"/>
  <c r="K21" i="4" s="1"/>
  <c r="E21" i="4"/>
  <c r="D21" i="4"/>
  <c r="O20" i="4"/>
  <c r="N20" i="4"/>
  <c r="M20" i="4"/>
  <c r="L20" i="4"/>
  <c r="K20" i="4"/>
  <c r="O19" i="4"/>
  <c r="N19" i="4"/>
  <c r="M19" i="4"/>
  <c r="L19" i="4"/>
  <c r="K19" i="4"/>
  <c r="J18" i="4"/>
  <c r="O18" i="4" s="1"/>
  <c r="I18" i="4"/>
  <c r="H18" i="4"/>
  <c r="G18" i="4"/>
  <c r="M18" i="4" s="1"/>
  <c r="F18" i="4"/>
  <c r="K18" i="4" s="1"/>
  <c r="E18" i="4"/>
  <c r="L18" i="4" s="1"/>
  <c r="D18" i="4"/>
  <c r="O17" i="4"/>
  <c r="N17" i="4"/>
  <c r="M17" i="4"/>
  <c r="L17" i="4"/>
  <c r="K17" i="4"/>
  <c r="O16" i="4"/>
  <c r="N16" i="4"/>
  <c r="M16" i="4"/>
  <c r="L16" i="4"/>
  <c r="K16" i="4"/>
  <c r="L15" i="4"/>
  <c r="J15" i="4"/>
  <c r="O15" i="4" s="1"/>
  <c r="I15" i="4"/>
  <c r="H15" i="4"/>
  <c r="N15" i="4" s="1"/>
  <c r="G15" i="4"/>
  <c r="M15" i="4" s="1"/>
  <c r="F15" i="4"/>
  <c r="K15" i="4" s="1"/>
  <c r="E15" i="4"/>
  <c r="D15" i="4"/>
  <c r="O14" i="4"/>
  <c r="N14" i="4"/>
  <c r="M14" i="4"/>
  <c r="L14" i="4"/>
  <c r="K14" i="4"/>
  <c r="O13" i="4"/>
  <c r="N13" i="4"/>
  <c r="M13" i="4"/>
  <c r="L13" i="4"/>
  <c r="K13" i="4"/>
  <c r="J12" i="4"/>
  <c r="O12" i="4" s="1"/>
  <c r="I12" i="4"/>
  <c r="H12" i="4"/>
  <c r="G12" i="4"/>
  <c r="M12" i="4" s="1"/>
  <c r="F12" i="4"/>
  <c r="K12" i="4" s="1"/>
  <c r="E12" i="4"/>
  <c r="L12" i="4" s="1"/>
  <c r="D12" i="4"/>
  <c r="O11" i="4"/>
  <c r="N11" i="4"/>
  <c r="M11" i="4"/>
  <c r="L11" i="4"/>
  <c r="K11" i="4"/>
  <c r="O10" i="4"/>
  <c r="N10" i="4"/>
  <c r="M10" i="4"/>
  <c r="L10" i="4"/>
  <c r="K10" i="4"/>
  <c r="J9" i="4"/>
  <c r="I9" i="4"/>
  <c r="H9" i="4"/>
  <c r="N12" i="4" s="1"/>
  <c r="G9" i="4"/>
  <c r="F9" i="4"/>
  <c r="K9" i="4" s="1"/>
  <c r="E9" i="4"/>
  <c r="D9" i="4"/>
  <c r="K8" i="4"/>
  <c r="K7" i="4"/>
  <c r="K85" i="3"/>
  <c r="I85" i="3"/>
  <c r="N85" i="3" s="1"/>
  <c r="H85" i="3"/>
  <c r="G85" i="3"/>
  <c r="M85" i="3" s="1"/>
  <c r="F85" i="3"/>
  <c r="L85" i="3" s="1"/>
  <c r="E85" i="3"/>
  <c r="J85" i="3" s="1"/>
  <c r="D85" i="3"/>
  <c r="C85" i="3"/>
  <c r="N84" i="3"/>
  <c r="M84" i="3"/>
  <c r="L84" i="3"/>
  <c r="K84" i="3"/>
  <c r="J84" i="3"/>
  <c r="N83" i="3"/>
  <c r="M83" i="3"/>
  <c r="L83" i="3"/>
  <c r="K83" i="3"/>
  <c r="J83" i="3"/>
  <c r="N82" i="3"/>
  <c r="M82" i="3"/>
  <c r="L82" i="3"/>
  <c r="K82" i="3"/>
  <c r="J82" i="3"/>
  <c r="N81" i="3"/>
  <c r="M81" i="3"/>
  <c r="L81" i="3"/>
  <c r="K81" i="3"/>
  <c r="J81" i="3"/>
  <c r="N80" i="3"/>
  <c r="M80" i="3"/>
  <c r="L80" i="3"/>
  <c r="K80" i="3"/>
  <c r="J80" i="3"/>
  <c r="N79" i="3"/>
  <c r="M79" i="3"/>
  <c r="L79" i="3"/>
  <c r="K79" i="3"/>
  <c r="J79" i="3"/>
  <c r="N78" i="3"/>
  <c r="M78" i="3"/>
  <c r="L78" i="3"/>
  <c r="K78" i="3"/>
  <c r="J78" i="3"/>
  <c r="N77" i="3"/>
  <c r="J77" i="3"/>
  <c r="I77" i="3"/>
  <c r="H77" i="3"/>
  <c r="G77" i="3"/>
  <c r="M77" i="3" s="1"/>
  <c r="F77" i="3"/>
  <c r="L77" i="3" s="1"/>
  <c r="E77" i="3"/>
  <c r="D77" i="3"/>
  <c r="K77" i="3" s="1"/>
  <c r="C77" i="3"/>
  <c r="N76" i="3"/>
  <c r="M76" i="3"/>
  <c r="L76" i="3"/>
  <c r="K76" i="3"/>
  <c r="J76" i="3"/>
  <c r="N75" i="3"/>
  <c r="M75" i="3"/>
  <c r="L75" i="3"/>
  <c r="K75" i="3"/>
  <c r="J75" i="3"/>
  <c r="I74" i="3"/>
  <c r="N74" i="3" s="1"/>
  <c r="H74" i="3"/>
  <c r="G74" i="3"/>
  <c r="M74" i="3" s="1"/>
  <c r="F74" i="3"/>
  <c r="E74" i="3"/>
  <c r="J74" i="3" s="1"/>
  <c r="D74" i="3"/>
  <c r="K74" i="3" s="1"/>
  <c r="C74" i="3"/>
  <c r="N73" i="3"/>
  <c r="M73" i="3"/>
  <c r="L73" i="3"/>
  <c r="K73" i="3"/>
  <c r="J73" i="3"/>
  <c r="N72" i="3"/>
  <c r="M72" i="3"/>
  <c r="L72" i="3"/>
  <c r="K72" i="3"/>
  <c r="J72" i="3"/>
  <c r="N71" i="3"/>
  <c r="J71" i="3"/>
  <c r="I71" i="3"/>
  <c r="H71" i="3"/>
  <c r="G71" i="3"/>
  <c r="M71" i="3" s="1"/>
  <c r="F71" i="3"/>
  <c r="L71" i="3" s="1"/>
  <c r="E71" i="3"/>
  <c r="D71" i="3"/>
  <c r="C71" i="3"/>
  <c r="N70" i="3"/>
  <c r="M70" i="3"/>
  <c r="L70" i="3"/>
  <c r="K70" i="3"/>
  <c r="J70" i="3"/>
  <c r="N69" i="3"/>
  <c r="M69" i="3"/>
  <c r="L69" i="3"/>
  <c r="K69" i="3"/>
  <c r="J69" i="3"/>
  <c r="I68" i="3"/>
  <c r="N68" i="3" s="1"/>
  <c r="H68" i="3"/>
  <c r="G68" i="3"/>
  <c r="F68" i="3"/>
  <c r="E68" i="3"/>
  <c r="J68" i="3" s="1"/>
  <c r="D68" i="3"/>
  <c r="K68" i="3" s="1"/>
  <c r="C68" i="3"/>
  <c r="N67" i="3"/>
  <c r="M67" i="3"/>
  <c r="L67" i="3"/>
  <c r="K67" i="3"/>
  <c r="J67" i="3"/>
  <c r="N66" i="3"/>
  <c r="M66" i="3"/>
  <c r="L66" i="3"/>
  <c r="K66" i="3"/>
  <c r="J66" i="3"/>
  <c r="N65" i="3"/>
  <c r="J65" i="3"/>
  <c r="I65" i="3"/>
  <c r="H65" i="3"/>
  <c r="G65" i="3"/>
  <c r="M65" i="3" s="1"/>
  <c r="F65" i="3"/>
  <c r="L65" i="3" s="1"/>
  <c r="E65" i="3"/>
  <c r="D65" i="3"/>
  <c r="C65" i="3"/>
  <c r="N64" i="3"/>
  <c r="M64" i="3"/>
  <c r="L64" i="3"/>
  <c r="K64" i="3"/>
  <c r="J64" i="3"/>
  <c r="N63" i="3"/>
  <c r="M63" i="3"/>
  <c r="L63" i="3"/>
  <c r="K63" i="3"/>
  <c r="J63" i="3"/>
  <c r="I62" i="3"/>
  <c r="N62" i="3" s="1"/>
  <c r="H62" i="3"/>
  <c r="G62" i="3"/>
  <c r="F62" i="3"/>
  <c r="E62" i="3"/>
  <c r="J62" i="3" s="1"/>
  <c r="D62" i="3"/>
  <c r="K62" i="3" s="1"/>
  <c r="C62" i="3"/>
  <c r="N61" i="3"/>
  <c r="M61" i="3"/>
  <c r="L61" i="3"/>
  <c r="K61" i="3"/>
  <c r="J61" i="3"/>
  <c r="N60" i="3"/>
  <c r="M60" i="3"/>
  <c r="L60" i="3"/>
  <c r="K60" i="3"/>
  <c r="J60" i="3"/>
  <c r="N59" i="3"/>
  <c r="J59" i="3"/>
  <c r="I59" i="3"/>
  <c r="H59" i="3"/>
  <c r="G59" i="3"/>
  <c r="M59" i="3" s="1"/>
  <c r="F59" i="3"/>
  <c r="L62" i="3" s="1"/>
  <c r="E59" i="3"/>
  <c r="D59" i="3"/>
  <c r="C59" i="3"/>
  <c r="N58" i="3"/>
  <c r="M58" i="3"/>
  <c r="L58" i="3"/>
  <c r="K58" i="3"/>
  <c r="J58" i="3"/>
  <c r="N57" i="3"/>
  <c r="M57" i="3"/>
  <c r="L57" i="3"/>
  <c r="K57" i="3"/>
  <c r="J57" i="3"/>
  <c r="I56" i="3"/>
  <c r="N56" i="3" s="1"/>
  <c r="H56" i="3"/>
  <c r="G56" i="3"/>
  <c r="F56" i="3"/>
  <c r="E56" i="3"/>
  <c r="J56" i="3" s="1"/>
  <c r="D56" i="3"/>
  <c r="K56" i="3" s="1"/>
  <c r="C56" i="3"/>
  <c r="N55" i="3"/>
  <c r="M55" i="3"/>
  <c r="L55" i="3"/>
  <c r="K55" i="3"/>
  <c r="J55" i="3"/>
  <c r="N54" i="3"/>
  <c r="M54" i="3"/>
  <c r="L54" i="3"/>
  <c r="K54" i="3"/>
  <c r="J54" i="3"/>
  <c r="N53" i="3"/>
  <c r="J53" i="3"/>
  <c r="I53" i="3"/>
  <c r="H53" i="3"/>
  <c r="G53" i="3"/>
  <c r="M53" i="3" s="1"/>
  <c r="F53" i="3"/>
  <c r="L56" i="3" s="1"/>
  <c r="E53" i="3"/>
  <c r="D53" i="3"/>
  <c r="C53" i="3"/>
  <c r="N52" i="3"/>
  <c r="M52" i="3"/>
  <c r="L52" i="3"/>
  <c r="K52" i="3"/>
  <c r="J52" i="3"/>
  <c r="N51" i="3"/>
  <c r="M51" i="3"/>
  <c r="L51" i="3"/>
  <c r="K51" i="3"/>
  <c r="J51" i="3"/>
  <c r="I50" i="3"/>
  <c r="N50" i="3" s="1"/>
  <c r="H50" i="3"/>
  <c r="G50" i="3"/>
  <c r="F50" i="3"/>
  <c r="E50" i="3"/>
  <c r="J50" i="3" s="1"/>
  <c r="D50" i="3"/>
  <c r="K50" i="3" s="1"/>
  <c r="C50" i="3"/>
  <c r="N49" i="3"/>
  <c r="M49" i="3"/>
  <c r="L49" i="3"/>
  <c r="K49" i="3"/>
  <c r="J49" i="3"/>
  <c r="N48" i="3"/>
  <c r="M48" i="3"/>
  <c r="L48" i="3"/>
  <c r="K48" i="3"/>
  <c r="J48" i="3"/>
  <c r="N47" i="3"/>
  <c r="K47" i="3"/>
  <c r="J47" i="3"/>
  <c r="I47" i="3"/>
  <c r="H47" i="3"/>
  <c r="G47" i="3"/>
  <c r="M47" i="3" s="1"/>
  <c r="F47" i="3"/>
  <c r="L50" i="3" s="1"/>
  <c r="E47" i="3"/>
  <c r="D47" i="3"/>
  <c r="C47" i="3"/>
  <c r="N46" i="3"/>
  <c r="M46" i="3"/>
  <c r="L46" i="3"/>
  <c r="K46" i="3"/>
  <c r="J46" i="3"/>
  <c r="N45" i="3"/>
  <c r="M45" i="3"/>
  <c r="L45" i="3"/>
  <c r="K45" i="3"/>
  <c r="J45" i="3"/>
  <c r="L44" i="3"/>
  <c r="J44" i="3"/>
  <c r="I44" i="3"/>
  <c r="N44" i="3" s="1"/>
  <c r="H44" i="3"/>
  <c r="N43" i="3"/>
  <c r="M43" i="3"/>
  <c r="L43" i="3"/>
  <c r="K43" i="3"/>
  <c r="J43" i="3"/>
  <c r="N42" i="3"/>
  <c r="M42" i="3"/>
  <c r="L42" i="3"/>
  <c r="K42" i="3"/>
  <c r="J42" i="3"/>
  <c r="I41" i="3"/>
  <c r="N41" i="3" s="1"/>
  <c r="H41" i="3"/>
  <c r="G41" i="3"/>
  <c r="M44" i="3" s="1"/>
  <c r="F41" i="3"/>
  <c r="L41" i="3" s="1"/>
  <c r="E41" i="3"/>
  <c r="J41" i="3" s="1"/>
  <c r="D41" i="3"/>
  <c r="K44" i="3" s="1"/>
  <c r="C41" i="3"/>
  <c r="N40" i="3"/>
  <c r="M40" i="3"/>
  <c r="L40" i="3"/>
  <c r="K40" i="3"/>
  <c r="J40" i="3"/>
  <c r="N39" i="3"/>
  <c r="M39" i="3"/>
  <c r="L39" i="3"/>
  <c r="K39" i="3"/>
  <c r="J39" i="3"/>
  <c r="K38" i="3"/>
  <c r="I38" i="3"/>
  <c r="N38" i="3" s="1"/>
  <c r="H38" i="3"/>
  <c r="G38" i="3"/>
  <c r="M41" i="3" s="1"/>
  <c r="F38" i="3"/>
  <c r="E38" i="3"/>
  <c r="J38" i="3" s="1"/>
  <c r="D38" i="3"/>
  <c r="C38" i="3"/>
  <c r="N37" i="3"/>
  <c r="M37" i="3"/>
  <c r="L37" i="3"/>
  <c r="K37" i="3"/>
  <c r="J37" i="3"/>
  <c r="N36" i="3"/>
  <c r="M36" i="3"/>
  <c r="L36" i="3"/>
  <c r="K36" i="3"/>
  <c r="J36" i="3"/>
  <c r="I35" i="3"/>
  <c r="N35" i="3" s="1"/>
  <c r="H35" i="3"/>
  <c r="G35" i="3"/>
  <c r="F35" i="3"/>
  <c r="L35" i="3" s="1"/>
  <c r="E35" i="3"/>
  <c r="J35" i="3" s="1"/>
  <c r="D35" i="3"/>
  <c r="K35" i="3" s="1"/>
  <c r="C35" i="3"/>
  <c r="N34" i="3"/>
  <c r="M34" i="3"/>
  <c r="L34" i="3"/>
  <c r="K34" i="3"/>
  <c r="J34" i="3"/>
  <c r="N33" i="3"/>
  <c r="M33" i="3"/>
  <c r="L33" i="3"/>
  <c r="K33" i="3"/>
  <c r="J33" i="3"/>
  <c r="K32" i="3"/>
  <c r="I32" i="3"/>
  <c r="N32" i="3" s="1"/>
  <c r="H32" i="3"/>
  <c r="G32" i="3"/>
  <c r="M32" i="3" s="1"/>
  <c r="F32" i="3"/>
  <c r="E32" i="3"/>
  <c r="J32" i="3" s="1"/>
  <c r="D32" i="3"/>
  <c r="C32" i="3"/>
  <c r="N31" i="3"/>
  <c r="M31" i="3"/>
  <c r="L31" i="3"/>
  <c r="K31" i="3"/>
  <c r="J31" i="3"/>
  <c r="N30" i="3"/>
  <c r="M30" i="3"/>
  <c r="L30" i="3"/>
  <c r="K30" i="3"/>
  <c r="J30" i="3"/>
  <c r="I29" i="3"/>
  <c r="N29" i="3" s="1"/>
  <c r="H29" i="3"/>
  <c r="G29" i="3"/>
  <c r="F29" i="3"/>
  <c r="L29" i="3" s="1"/>
  <c r="E29" i="3"/>
  <c r="J29" i="3" s="1"/>
  <c r="D29" i="3"/>
  <c r="K29" i="3" s="1"/>
  <c r="C29" i="3"/>
  <c r="N28" i="3"/>
  <c r="M28" i="3"/>
  <c r="L28" i="3"/>
  <c r="K28" i="3"/>
  <c r="J28" i="3"/>
  <c r="N27" i="3"/>
  <c r="M27" i="3"/>
  <c r="L27" i="3"/>
  <c r="K27" i="3"/>
  <c r="J27" i="3"/>
  <c r="I26" i="3"/>
  <c r="N26" i="3" s="1"/>
  <c r="H26" i="3"/>
  <c r="G26" i="3"/>
  <c r="M26" i="3" s="1"/>
  <c r="F26" i="3"/>
  <c r="E26" i="3"/>
  <c r="J26" i="3" s="1"/>
  <c r="D26" i="3"/>
  <c r="C26" i="3"/>
  <c r="N25" i="3"/>
  <c r="M25" i="3"/>
  <c r="L25" i="3"/>
  <c r="K25" i="3"/>
  <c r="J25" i="3"/>
  <c r="N24" i="3"/>
  <c r="M24" i="3"/>
  <c r="L24" i="3"/>
  <c r="K24" i="3"/>
  <c r="J24" i="3"/>
  <c r="M23" i="3"/>
  <c r="I23" i="3"/>
  <c r="N23" i="3" s="1"/>
  <c r="H23" i="3"/>
  <c r="G23" i="3"/>
  <c r="F23" i="3"/>
  <c r="L23" i="3" s="1"/>
  <c r="E23" i="3"/>
  <c r="D23" i="3"/>
  <c r="K23" i="3" s="1"/>
  <c r="C23" i="3"/>
  <c r="N22" i="3"/>
  <c r="M22" i="3"/>
  <c r="L22" i="3"/>
  <c r="K22" i="3"/>
  <c r="J22" i="3"/>
  <c r="N21" i="3"/>
  <c r="M21" i="3"/>
  <c r="L21" i="3"/>
  <c r="K21" i="3"/>
  <c r="J21" i="3"/>
  <c r="I20" i="3"/>
  <c r="N20" i="3" s="1"/>
  <c r="H20" i="3"/>
  <c r="G20" i="3"/>
  <c r="M20" i="3" s="1"/>
  <c r="F20" i="3"/>
  <c r="L20" i="3" s="1"/>
  <c r="E20" i="3"/>
  <c r="D20" i="3"/>
  <c r="C20" i="3"/>
  <c r="N19" i="3"/>
  <c r="M19" i="3"/>
  <c r="L19" i="3"/>
  <c r="K19" i="3"/>
  <c r="J19" i="3"/>
  <c r="N18" i="3"/>
  <c r="M18" i="3"/>
  <c r="L18" i="3"/>
  <c r="K18" i="3"/>
  <c r="J18" i="3"/>
  <c r="K17" i="3"/>
  <c r="I17" i="3"/>
  <c r="N17" i="3" s="1"/>
  <c r="H17" i="3"/>
  <c r="G17" i="3"/>
  <c r="M17" i="3" s="1"/>
  <c r="F17" i="3"/>
  <c r="E17" i="3"/>
  <c r="J17" i="3" s="1"/>
  <c r="D17" i="3"/>
  <c r="K20" i="3" s="1"/>
  <c r="C17" i="3"/>
  <c r="N16" i="3"/>
  <c r="M16" i="3"/>
  <c r="L16" i="3"/>
  <c r="K16" i="3"/>
  <c r="J16" i="3"/>
  <c r="N15" i="3"/>
  <c r="M15" i="3"/>
  <c r="L15" i="3"/>
  <c r="K15" i="3"/>
  <c r="J15" i="3"/>
  <c r="I14" i="3"/>
  <c r="N14" i="3" s="1"/>
  <c r="H14" i="3"/>
  <c r="G14" i="3"/>
  <c r="F14" i="3"/>
  <c r="L14" i="3" s="1"/>
  <c r="E14" i="3"/>
  <c r="J14" i="3" s="1"/>
  <c r="D14" i="3"/>
  <c r="K14" i="3" s="1"/>
  <c r="C14" i="3"/>
  <c r="N13" i="3"/>
  <c r="M13" i="3"/>
  <c r="L13" i="3"/>
  <c r="K13" i="3"/>
  <c r="J13" i="3"/>
  <c r="N12" i="3"/>
  <c r="M12" i="3"/>
  <c r="L12" i="3"/>
  <c r="K12" i="3"/>
  <c r="J12" i="3"/>
  <c r="K11" i="3"/>
  <c r="I11" i="3"/>
  <c r="N11" i="3" s="1"/>
  <c r="H11" i="3"/>
  <c r="G11" i="3"/>
  <c r="M14" i="3" s="1"/>
  <c r="F11" i="3"/>
  <c r="E11" i="3"/>
  <c r="J11" i="3" s="1"/>
  <c r="D11" i="3"/>
  <c r="C11" i="3"/>
  <c r="N10" i="3"/>
  <c r="M10" i="3"/>
  <c r="L10" i="3"/>
  <c r="K10" i="3"/>
  <c r="J10" i="3"/>
  <c r="N9" i="3"/>
  <c r="M9" i="3"/>
  <c r="L9" i="3"/>
  <c r="K9" i="3"/>
  <c r="J9" i="3"/>
  <c r="I8" i="3"/>
  <c r="H8" i="3"/>
  <c r="G8" i="3"/>
  <c r="F8" i="3"/>
  <c r="L11" i="3" s="1"/>
  <c r="E8" i="3"/>
  <c r="J8" i="3" s="1"/>
  <c r="D8" i="3"/>
  <c r="C8" i="3"/>
  <c r="J7" i="3"/>
  <c r="J6" i="3"/>
  <c r="K23" i="2"/>
  <c r="V22" i="2"/>
  <c r="V23" i="2" s="1"/>
  <c r="U22" i="2"/>
  <c r="U23" i="2" s="1"/>
  <c r="T22" i="2"/>
  <c r="T23" i="2" s="1"/>
  <c r="S22" i="2"/>
  <c r="R22" i="2"/>
  <c r="R23" i="2" s="1"/>
  <c r="Q22" i="2"/>
  <c r="Q23" i="2" s="1"/>
  <c r="P22" i="2"/>
  <c r="P23" i="2" s="1"/>
  <c r="O22" i="2"/>
  <c r="N22" i="2"/>
  <c r="N23" i="2" s="1"/>
  <c r="M22" i="2"/>
  <c r="M23" i="2" s="1"/>
  <c r="L22" i="2"/>
  <c r="L23" i="2" s="1"/>
  <c r="K22" i="2"/>
  <c r="J22" i="2"/>
  <c r="J23" i="2" s="1"/>
  <c r="I22" i="2"/>
  <c r="I23" i="2" s="1"/>
  <c r="H22" i="2"/>
  <c r="H23" i="2" s="1"/>
  <c r="G22" i="2"/>
  <c r="F22" i="2"/>
  <c r="F23" i="2" s="1"/>
  <c r="E22" i="2"/>
  <c r="E23" i="2" s="1"/>
  <c r="D22" i="2"/>
  <c r="D23" i="2" s="1"/>
  <c r="C22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V9" i="2"/>
  <c r="V14" i="2" s="1"/>
  <c r="U9" i="2"/>
  <c r="U14" i="2" s="1"/>
  <c r="T9" i="2"/>
  <c r="T14" i="2" s="1"/>
  <c r="T15" i="2" s="1"/>
  <c r="S9" i="2"/>
  <c r="S14" i="2" s="1"/>
  <c r="R9" i="2"/>
  <c r="R14" i="2" s="1"/>
  <c r="Q9" i="2"/>
  <c r="Q14" i="2" s="1"/>
  <c r="P9" i="2"/>
  <c r="P14" i="2" s="1"/>
  <c r="P15" i="2" s="1"/>
  <c r="O9" i="2"/>
  <c r="O14" i="2" s="1"/>
  <c r="N9" i="2"/>
  <c r="N14" i="2" s="1"/>
  <c r="M9" i="2"/>
  <c r="M14" i="2" s="1"/>
  <c r="L9" i="2"/>
  <c r="L14" i="2" s="1"/>
  <c r="L15" i="2" s="1"/>
  <c r="K9" i="2"/>
  <c r="K14" i="2" s="1"/>
  <c r="J9" i="2"/>
  <c r="J14" i="2" s="1"/>
  <c r="I9" i="2"/>
  <c r="I14" i="2" s="1"/>
  <c r="H9" i="2"/>
  <c r="H14" i="2" s="1"/>
  <c r="H15" i="2" s="1"/>
  <c r="G9" i="2"/>
  <c r="G14" i="2" s="1"/>
  <c r="F9" i="2"/>
  <c r="F14" i="2" s="1"/>
  <c r="E9" i="2"/>
  <c r="E14" i="2" s="1"/>
  <c r="D9" i="2"/>
  <c r="D14" i="2" s="1"/>
  <c r="D15" i="2" s="1"/>
  <c r="C9" i="2"/>
  <c r="C14" i="2" s="1"/>
  <c r="N15" i="1"/>
  <c r="M15" i="1"/>
  <c r="L15" i="1"/>
  <c r="V14" i="1"/>
  <c r="V15" i="1" s="1"/>
  <c r="U14" i="1"/>
  <c r="U15" i="1" s="1"/>
  <c r="T14" i="1"/>
  <c r="T15" i="1" s="1"/>
  <c r="S14" i="1"/>
  <c r="S15" i="1" s="1"/>
  <c r="R14" i="1"/>
  <c r="R15" i="1" s="1"/>
  <c r="Q14" i="1"/>
  <c r="Q15" i="1" s="1"/>
  <c r="P14" i="1"/>
  <c r="P15" i="1" s="1"/>
  <c r="O14" i="1"/>
  <c r="O15" i="1" s="1"/>
  <c r="J14" i="1"/>
  <c r="J15" i="1" s="1"/>
  <c r="I14" i="1"/>
  <c r="I15" i="1" s="1"/>
  <c r="H14" i="1"/>
  <c r="H15" i="1" s="1"/>
  <c r="G14" i="1"/>
  <c r="G15" i="1" s="1"/>
  <c r="F14" i="1"/>
  <c r="F15" i="1" s="1"/>
  <c r="E14" i="1"/>
  <c r="E15" i="1" s="1"/>
  <c r="D14" i="1"/>
  <c r="D15" i="1" s="1"/>
  <c r="C14" i="1"/>
  <c r="N10" i="1"/>
  <c r="M10" i="1"/>
  <c r="L10" i="1"/>
  <c r="V9" i="1"/>
  <c r="V10" i="1" s="1"/>
  <c r="U9" i="1"/>
  <c r="U10" i="1" s="1"/>
  <c r="T9" i="1"/>
  <c r="T10" i="1" s="1"/>
  <c r="S9" i="1"/>
  <c r="S10" i="1" s="1"/>
  <c r="R9" i="1"/>
  <c r="R10" i="1" s="1"/>
  <c r="Q9" i="1"/>
  <c r="Q10" i="1" s="1"/>
  <c r="P9" i="1"/>
  <c r="P10" i="1" s="1"/>
  <c r="O9" i="1"/>
  <c r="O10" i="1" s="1"/>
  <c r="J9" i="1"/>
  <c r="K10" i="1" s="1"/>
  <c r="I9" i="1"/>
  <c r="I10" i="1" s="1"/>
  <c r="H9" i="1"/>
  <c r="H10" i="1" s="1"/>
  <c r="G9" i="1"/>
  <c r="G10" i="1" s="1"/>
  <c r="F9" i="1"/>
  <c r="F10" i="1" s="1"/>
  <c r="E9" i="1"/>
  <c r="E10" i="1" s="1"/>
  <c r="D9" i="1"/>
  <c r="D10" i="1" s="1"/>
  <c r="C9" i="1"/>
  <c r="AM16" i="7" l="1"/>
  <c r="AO16" i="7"/>
  <c r="AP16" i="7"/>
  <c r="M16" i="7"/>
  <c r="U16" i="7"/>
  <c r="AC16" i="7"/>
  <c r="AK16" i="7"/>
  <c r="K40" i="7"/>
  <c r="S40" i="7"/>
  <c r="AA40" i="7"/>
  <c r="AM40" i="7"/>
  <c r="I16" i="7"/>
  <c r="Q16" i="7"/>
  <c r="Y16" i="7"/>
  <c r="AG16" i="7"/>
  <c r="G40" i="7"/>
  <c r="O40" i="7"/>
  <c r="W40" i="7"/>
  <c r="AI40" i="7"/>
  <c r="N21" i="6"/>
  <c r="O23" i="6"/>
  <c r="E16" i="5"/>
  <c r="E24" i="5"/>
  <c r="E32" i="5"/>
  <c r="E40" i="5"/>
  <c r="E48" i="5"/>
  <c r="F28" i="5"/>
  <c r="F44" i="5"/>
  <c r="F16" i="5"/>
  <c r="F32" i="5"/>
  <c r="F48" i="5"/>
  <c r="K93" i="4"/>
  <c r="N18" i="4"/>
  <c r="N24" i="4"/>
  <c r="N69" i="4"/>
  <c r="M36" i="4"/>
  <c r="O39" i="4"/>
  <c r="M42" i="4"/>
  <c r="O45" i="4"/>
  <c r="M48" i="4"/>
  <c r="O51" i="4"/>
  <c r="M54" i="4"/>
  <c r="O57" i="4"/>
  <c r="M60" i="4"/>
  <c r="O63" i="4"/>
  <c r="M66" i="4"/>
  <c r="O69" i="4"/>
  <c r="M72" i="4"/>
  <c r="O75" i="4"/>
  <c r="E93" i="4"/>
  <c r="L93" i="4" s="1"/>
  <c r="N57" i="4"/>
  <c r="N63" i="4"/>
  <c r="N30" i="4"/>
  <c r="N36" i="4"/>
  <c r="N42" i="4"/>
  <c r="N48" i="4"/>
  <c r="N72" i="4"/>
  <c r="K86" i="4"/>
  <c r="O86" i="4"/>
  <c r="N92" i="4"/>
  <c r="L68" i="3"/>
  <c r="L17" i="3"/>
  <c r="L26" i="3"/>
  <c r="L32" i="3"/>
  <c r="L38" i="3"/>
  <c r="M50" i="3"/>
  <c r="K53" i="3"/>
  <c r="M56" i="3"/>
  <c r="K59" i="3"/>
  <c r="M62" i="3"/>
  <c r="K65" i="3"/>
  <c r="M68" i="3"/>
  <c r="K71" i="3"/>
  <c r="K26" i="3"/>
  <c r="M29" i="3"/>
  <c r="M35" i="3"/>
  <c r="L74" i="3"/>
  <c r="M11" i="3"/>
  <c r="M38" i="3"/>
  <c r="K41" i="3"/>
  <c r="L47" i="3"/>
  <c r="L53" i="3"/>
  <c r="L59" i="3"/>
  <c r="E15" i="2"/>
  <c r="I15" i="2"/>
  <c r="M15" i="2"/>
  <c r="Q15" i="2"/>
  <c r="U15" i="2"/>
  <c r="F15" i="2"/>
  <c r="J15" i="2"/>
  <c r="N15" i="2"/>
  <c r="R15" i="2"/>
  <c r="V15" i="2"/>
  <c r="G15" i="2"/>
  <c r="K15" i="2"/>
  <c r="O15" i="2"/>
  <c r="S15" i="2"/>
  <c r="S23" i="2"/>
  <c r="G23" i="2"/>
  <c r="O23" i="2"/>
  <c r="J10" i="1"/>
  <c r="K15" i="1"/>
</calcChain>
</file>

<file path=xl/sharedStrings.xml><?xml version="1.0" encoding="utf-8"?>
<sst xmlns="http://schemas.openxmlformats.org/spreadsheetml/2006/main" count="1831" uniqueCount="367">
  <si>
    <t>Ⅱ　固定資産税・都市計画税</t>
    <rPh sb="2" eb="4">
      <t>コテイ</t>
    </rPh>
    <rPh sb="4" eb="7">
      <t>シサンゼイ</t>
    </rPh>
    <rPh sb="8" eb="10">
      <t>トシ</t>
    </rPh>
    <rPh sb="10" eb="12">
      <t>ケイカク</t>
    </rPh>
    <rPh sb="12" eb="13">
      <t>ゼイ</t>
    </rPh>
    <phoneticPr fontId="4"/>
  </si>
  <si>
    <t>　１　固定資産税・都市計画税納税義務者の調（当初）</t>
    <rPh sb="3" eb="5">
      <t>コテイ</t>
    </rPh>
    <rPh sb="5" eb="7">
      <t>シサン</t>
    </rPh>
    <rPh sb="7" eb="8">
      <t>ゼイ</t>
    </rPh>
    <rPh sb="9" eb="11">
      <t>トシ</t>
    </rPh>
    <rPh sb="11" eb="13">
      <t>ケイカク</t>
    </rPh>
    <rPh sb="13" eb="14">
      <t>ゼイ</t>
    </rPh>
    <rPh sb="14" eb="16">
      <t>ノウゼイ</t>
    </rPh>
    <rPh sb="16" eb="18">
      <t>ギム</t>
    </rPh>
    <rPh sb="18" eb="19">
      <t>シャ</t>
    </rPh>
    <rPh sb="20" eb="21">
      <t>シラ</t>
    </rPh>
    <rPh sb="22" eb="24">
      <t>トウショ</t>
    </rPh>
    <phoneticPr fontId="4"/>
  </si>
  <si>
    <t>（単位：人・％）</t>
  </si>
  <si>
    <t>区分</t>
    <rPh sb="0" eb="1">
      <t>ク</t>
    </rPh>
    <rPh sb="1" eb="2">
      <t>ブン</t>
    </rPh>
    <phoneticPr fontId="4"/>
  </si>
  <si>
    <t>平成16年度</t>
    <rPh sb="0" eb="2">
      <t>ヘイセイ</t>
    </rPh>
    <rPh sb="4" eb="6">
      <t>ネンド</t>
    </rPh>
    <phoneticPr fontId="4"/>
  </si>
  <si>
    <r>
      <t>平成17年度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</si>
  <si>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</si>
  <si>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</si>
  <si>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</si>
  <si>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</si>
  <si>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</si>
  <si>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</si>
  <si>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r>
      <t>平成24年度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4"/>
  </si>
  <si>
    <t>平成25年度</t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</si>
  <si>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</si>
  <si>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</si>
  <si>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</si>
  <si>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</si>
  <si>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</si>
  <si>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1">
      <t>レイ</t>
    </rPh>
    <rPh sb="1" eb="2">
      <t>カズ</t>
    </rPh>
    <rPh sb="2" eb="3">
      <t>モト</t>
    </rPh>
    <rPh sb="3" eb="5">
      <t>ネンド</t>
    </rPh>
    <phoneticPr fontId="4"/>
  </si>
  <si>
    <t>令和2年度</t>
    <rPh sb="0" eb="1">
      <t>レイ</t>
    </rPh>
    <rPh sb="1" eb="2">
      <t>カズ</t>
    </rPh>
    <rPh sb="3" eb="5">
      <t>ネンド</t>
    </rPh>
    <phoneticPr fontId="4"/>
  </si>
  <si>
    <t>令和3年度</t>
    <rPh sb="0" eb="1">
      <t>レイ</t>
    </rPh>
    <rPh sb="1" eb="2">
      <t>カズ</t>
    </rPh>
    <rPh sb="3" eb="5">
      <t>ネンド</t>
    </rPh>
    <phoneticPr fontId="4"/>
  </si>
  <si>
    <t>令和4年度</t>
    <rPh sb="0" eb="1">
      <t>レイ</t>
    </rPh>
    <rPh sb="1" eb="2">
      <t>カズ</t>
    </rPh>
    <rPh sb="3" eb="5">
      <t>ネンド</t>
    </rPh>
    <phoneticPr fontId="4"/>
  </si>
  <si>
    <t>令和5年度</t>
    <rPh sb="0" eb="1">
      <t>レイ</t>
    </rPh>
    <rPh sb="1" eb="2">
      <t>カズ</t>
    </rPh>
    <rPh sb="3" eb="5">
      <t>ネンド</t>
    </rPh>
    <phoneticPr fontId="4"/>
  </si>
  <si>
    <t>土地のみ</t>
    <rPh sb="0" eb="2">
      <t>トチ</t>
    </rPh>
    <phoneticPr fontId="4"/>
  </si>
  <si>
    <t>家屋のみ</t>
    <rPh sb="0" eb="2">
      <t>カオク</t>
    </rPh>
    <phoneticPr fontId="4"/>
  </si>
  <si>
    <t>固定資産税</t>
    <rPh sb="0" eb="2">
      <t>コテイ</t>
    </rPh>
    <rPh sb="2" eb="5">
      <t>シサンゼイ</t>
    </rPh>
    <phoneticPr fontId="4"/>
  </si>
  <si>
    <t>土地・家屋・償却</t>
    <rPh sb="0" eb="2">
      <t>トチ</t>
    </rPh>
    <rPh sb="3" eb="5">
      <t>カオク</t>
    </rPh>
    <rPh sb="6" eb="8">
      <t>ショウキャク</t>
    </rPh>
    <phoneticPr fontId="4"/>
  </si>
  <si>
    <t>償却資産のみ</t>
    <rPh sb="0" eb="2">
      <t>ショウキャク</t>
    </rPh>
    <rPh sb="2" eb="4">
      <t>シサン</t>
    </rPh>
    <phoneticPr fontId="4"/>
  </si>
  <si>
    <t>計</t>
    <rPh sb="0" eb="1">
      <t>ケイ</t>
    </rPh>
    <phoneticPr fontId="4"/>
  </si>
  <si>
    <t>前年比</t>
    <rPh sb="0" eb="3">
      <t>ゼンネンヒ</t>
    </rPh>
    <phoneticPr fontId="4"/>
  </si>
  <si>
    <t>都市計画税</t>
    <rPh sb="0" eb="2">
      <t>トシ</t>
    </rPh>
    <rPh sb="2" eb="4">
      <t>ケイカク</t>
    </rPh>
    <rPh sb="4" eb="5">
      <t>ゼイ</t>
    </rPh>
    <phoneticPr fontId="4"/>
  </si>
  <si>
    <t>土地・家屋</t>
    <rPh sb="0" eb="2">
      <t>トチ</t>
    </rPh>
    <rPh sb="3" eb="5">
      <t>カオク</t>
    </rPh>
    <phoneticPr fontId="4"/>
  </si>
  <si>
    <t>［参考］資産別納税義務者の調（概要調書）</t>
    <rPh sb="1" eb="3">
      <t>サンコウ</t>
    </rPh>
    <rPh sb="4" eb="6">
      <t>シサン</t>
    </rPh>
    <rPh sb="6" eb="7">
      <t>ベツ</t>
    </rPh>
    <rPh sb="7" eb="9">
      <t>ノウゼイ</t>
    </rPh>
    <rPh sb="9" eb="11">
      <t>ギム</t>
    </rPh>
    <rPh sb="11" eb="12">
      <t>シャ</t>
    </rPh>
    <rPh sb="13" eb="14">
      <t>シラ</t>
    </rPh>
    <rPh sb="15" eb="17">
      <t>ガイヨウ</t>
    </rPh>
    <rPh sb="17" eb="19">
      <t>チョウショ</t>
    </rPh>
    <phoneticPr fontId="4"/>
  </si>
  <si>
    <t>（単位:人）</t>
  </si>
  <si>
    <t>平成26年度</t>
  </si>
  <si>
    <t>平成27年度</t>
  </si>
  <si>
    <t>平成28年度</t>
    <phoneticPr fontId="4"/>
  </si>
  <si>
    <t>平成29年度</t>
    <phoneticPr fontId="4"/>
  </si>
  <si>
    <t>平成30年度</t>
    <phoneticPr fontId="4"/>
  </si>
  <si>
    <t>令和元年度</t>
    <rPh sb="0" eb="2">
      <t>レイワ</t>
    </rPh>
    <rPh sb="2" eb="3">
      <t>モト</t>
    </rPh>
    <phoneticPr fontId="4"/>
  </si>
  <si>
    <t>令和2年度</t>
    <rPh sb="0" eb="2">
      <t>レイワ</t>
    </rPh>
    <phoneticPr fontId="4"/>
  </si>
  <si>
    <t>令和3年度</t>
    <rPh sb="0" eb="2">
      <t>レイワ</t>
    </rPh>
    <phoneticPr fontId="4"/>
  </si>
  <si>
    <t>令和4年度</t>
    <rPh sb="0" eb="2">
      <t>レイワ</t>
    </rPh>
    <phoneticPr fontId="4"/>
  </si>
  <si>
    <t>令和5年度</t>
    <rPh sb="0" eb="2">
      <t>レイワ</t>
    </rPh>
    <phoneticPr fontId="4"/>
  </si>
  <si>
    <t>固定資産税</t>
    <rPh sb="0" eb="2">
      <t>コテイ</t>
    </rPh>
    <rPh sb="2" eb="4">
      <t>シサン</t>
    </rPh>
    <rPh sb="4" eb="5">
      <t>ゼイ</t>
    </rPh>
    <phoneticPr fontId="4"/>
  </si>
  <si>
    <t>土地</t>
    <rPh sb="0" eb="2">
      <t>トチ</t>
    </rPh>
    <phoneticPr fontId="4"/>
  </si>
  <si>
    <t>家屋</t>
    <rPh sb="0" eb="2">
      <t>カオク</t>
    </rPh>
    <phoneticPr fontId="4"/>
  </si>
  <si>
    <t>償却資産</t>
    <rPh sb="0" eb="2">
      <t>ショウキャク</t>
    </rPh>
    <rPh sb="2" eb="4">
      <t>シサン</t>
    </rPh>
    <phoneticPr fontId="4"/>
  </si>
  <si>
    <t>２　固定資産税・都市計画税調定額の調（当初）</t>
    <rPh sb="2" eb="4">
      <t>コテイ</t>
    </rPh>
    <rPh sb="4" eb="6">
      <t>シサン</t>
    </rPh>
    <rPh sb="6" eb="7">
      <t>ゼイ</t>
    </rPh>
    <rPh sb="8" eb="10">
      <t>トシ</t>
    </rPh>
    <rPh sb="10" eb="12">
      <t>ケイカク</t>
    </rPh>
    <rPh sb="12" eb="13">
      <t>ゼイ</t>
    </rPh>
    <rPh sb="13" eb="14">
      <t>チョウ</t>
    </rPh>
    <rPh sb="14" eb="16">
      <t>テイガク</t>
    </rPh>
    <rPh sb="17" eb="18">
      <t>シラ</t>
    </rPh>
    <rPh sb="19" eb="21">
      <t>トウショ</t>
    </rPh>
    <phoneticPr fontId="4"/>
  </si>
  <si>
    <t>(1)固定資産税</t>
    <rPh sb="3" eb="5">
      <t>コテイ</t>
    </rPh>
    <rPh sb="5" eb="8">
      <t>シサンゼイ</t>
    </rPh>
    <phoneticPr fontId="4"/>
  </si>
  <si>
    <t>（単位:千円・％）</t>
  </si>
  <si>
    <t>土地</t>
  </si>
  <si>
    <t>家屋</t>
  </si>
  <si>
    <t>償却資産</t>
    <phoneticPr fontId="4"/>
  </si>
  <si>
    <t>交付金</t>
    <rPh sb="0" eb="3">
      <t>コウフキン</t>
    </rPh>
    <phoneticPr fontId="4"/>
  </si>
  <si>
    <t>国有資産分</t>
    <rPh sb="0" eb="1">
      <t>クニ</t>
    </rPh>
    <rPh sb="1" eb="2">
      <t>ユウ</t>
    </rPh>
    <rPh sb="2" eb="4">
      <t>シサン</t>
    </rPh>
    <rPh sb="4" eb="5">
      <t>ブン</t>
    </rPh>
    <phoneticPr fontId="4"/>
  </si>
  <si>
    <t>県有資産分</t>
    <rPh sb="0" eb="1">
      <t>ケン</t>
    </rPh>
    <rPh sb="1" eb="2">
      <t>ユウ</t>
    </rPh>
    <rPh sb="2" eb="4">
      <t>シサン</t>
    </rPh>
    <rPh sb="4" eb="5">
      <t>ブン</t>
    </rPh>
    <phoneticPr fontId="4"/>
  </si>
  <si>
    <t>合計</t>
    <rPh sb="0" eb="1">
      <t>ゴウ</t>
    </rPh>
    <rPh sb="1" eb="2">
      <t>ケイ</t>
    </rPh>
    <phoneticPr fontId="4"/>
  </si>
  <si>
    <t>(２)都市計画税</t>
    <rPh sb="3" eb="5">
      <t>トシ</t>
    </rPh>
    <rPh sb="5" eb="7">
      <t>ケイカク</t>
    </rPh>
    <rPh sb="7" eb="8">
      <t>ゼイ</t>
    </rPh>
    <phoneticPr fontId="4"/>
  </si>
  <si>
    <t>３　土地の概要(地積・課税標準額等)累年比較(当初)</t>
    <rPh sb="2" eb="4">
      <t>トチ</t>
    </rPh>
    <rPh sb="5" eb="7">
      <t>ガイヨウ</t>
    </rPh>
    <rPh sb="8" eb="10">
      <t>チセキ</t>
    </rPh>
    <rPh sb="11" eb="15">
      <t>カゼイヒョウジュン</t>
    </rPh>
    <rPh sb="15" eb="16">
      <t>ガク</t>
    </rPh>
    <rPh sb="16" eb="17">
      <t>トウ</t>
    </rPh>
    <rPh sb="18" eb="20">
      <t>ルイネン</t>
    </rPh>
    <rPh sb="20" eb="22">
      <t>ヒカク</t>
    </rPh>
    <rPh sb="23" eb="25">
      <t>トウショ</t>
    </rPh>
    <phoneticPr fontId="4"/>
  </si>
  <si>
    <t>(単位:平方メートル・％)</t>
    <rPh sb="1" eb="3">
      <t>タンイ</t>
    </rPh>
    <rPh sb="4" eb="6">
      <t>ヘイホウ</t>
    </rPh>
    <phoneticPr fontId="4"/>
  </si>
  <si>
    <t>年度</t>
    <rPh sb="0" eb="1">
      <t>トシ</t>
    </rPh>
    <rPh sb="1" eb="2">
      <t>ド</t>
    </rPh>
    <phoneticPr fontId="4"/>
  </si>
  <si>
    <t>地目</t>
    <rPh sb="0" eb="1">
      <t>チ</t>
    </rPh>
    <rPh sb="1" eb="2">
      <t>メ</t>
    </rPh>
    <phoneticPr fontId="4"/>
  </si>
  <si>
    <t>地積(平方メートル)</t>
    <rPh sb="0" eb="2">
      <t>チセキ</t>
    </rPh>
    <rPh sb="3" eb="5">
      <t>ヘイホウ</t>
    </rPh>
    <phoneticPr fontId="4"/>
  </si>
  <si>
    <t>決定価格(千円)</t>
    <rPh sb="0" eb="4">
      <t>ケッテイカカク</t>
    </rPh>
    <rPh sb="5" eb="7">
      <t>センエン</t>
    </rPh>
    <phoneticPr fontId="4"/>
  </si>
  <si>
    <t>課税標準額</t>
    <rPh sb="0" eb="4">
      <t>カゼイヒョウジュン</t>
    </rPh>
    <rPh sb="4" eb="5">
      <t>ガク</t>
    </rPh>
    <phoneticPr fontId="4"/>
  </si>
  <si>
    <t>筆数</t>
    <rPh sb="0" eb="1">
      <t>フデ</t>
    </rPh>
    <rPh sb="1" eb="2">
      <t>スウ</t>
    </rPh>
    <phoneticPr fontId="4"/>
  </si>
  <si>
    <t>1平方メートル当り</t>
    <rPh sb="1" eb="3">
      <t>ヘイホウ</t>
    </rPh>
    <rPh sb="7" eb="8">
      <t>アタ</t>
    </rPh>
    <phoneticPr fontId="4"/>
  </si>
  <si>
    <t>前年比</t>
    <rPh sb="0" eb="1">
      <t>マエ</t>
    </rPh>
    <rPh sb="1" eb="2">
      <t>トシ</t>
    </rPh>
    <rPh sb="2" eb="3">
      <t>ヒ</t>
    </rPh>
    <phoneticPr fontId="4"/>
  </si>
  <si>
    <t>評価総地積</t>
    <rPh sb="0" eb="2">
      <t>ヒョウカ</t>
    </rPh>
    <rPh sb="2" eb="3">
      <t>ソウ</t>
    </rPh>
    <rPh sb="3" eb="5">
      <t>チセキ</t>
    </rPh>
    <phoneticPr fontId="4"/>
  </si>
  <si>
    <t>免税点以上</t>
    <rPh sb="0" eb="2">
      <t>メンゼイテン</t>
    </rPh>
    <rPh sb="2" eb="3">
      <t>テン</t>
    </rPh>
    <rPh sb="3" eb="5">
      <t>イジョウ</t>
    </rPh>
    <phoneticPr fontId="4"/>
  </si>
  <si>
    <t>総額</t>
    <rPh sb="0" eb="2">
      <t>ソウガク</t>
    </rPh>
    <phoneticPr fontId="4"/>
  </si>
  <si>
    <t>評価総筆数</t>
    <rPh sb="0" eb="2">
      <t>ヒョウカ</t>
    </rPh>
    <rPh sb="2" eb="3">
      <t>ソウ</t>
    </rPh>
    <rPh sb="3" eb="4">
      <t>ヒツ</t>
    </rPh>
    <rPh sb="4" eb="5">
      <t>スウ</t>
    </rPh>
    <phoneticPr fontId="4"/>
  </si>
  <si>
    <t>平均価格（円）</t>
    <rPh sb="0" eb="2">
      <t>ヘイキン</t>
    </rPh>
    <rPh sb="2" eb="4">
      <t>カカク</t>
    </rPh>
    <rPh sb="5" eb="6">
      <t>エン</t>
    </rPh>
    <phoneticPr fontId="4"/>
  </si>
  <si>
    <t>地積の</t>
    <rPh sb="0" eb="2">
      <t>チセキ</t>
    </rPh>
    <phoneticPr fontId="4"/>
  </si>
  <si>
    <t>価格の</t>
    <rPh sb="0" eb="2">
      <t>カカク</t>
    </rPh>
    <phoneticPr fontId="4"/>
  </si>
  <si>
    <t>課税標準額</t>
    <rPh sb="0" eb="2">
      <t>カゼイ</t>
    </rPh>
    <rPh sb="2" eb="4">
      <t>ヒョウジュン</t>
    </rPh>
    <rPh sb="4" eb="5">
      <t>ガク</t>
    </rPh>
    <phoneticPr fontId="4"/>
  </si>
  <si>
    <t>筆数の</t>
    <rPh sb="0" eb="1">
      <t>フデ</t>
    </rPh>
    <rPh sb="1" eb="2">
      <t>カズ</t>
    </rPh>
    <phoneticPr fontId="4"/>
  </si>
  <si>
    <t>（千円）</t>
    <rPh sb="1" eb="3">
      <t>センエン</t>
    </rPh>
    <phoneticPr fontId="4"/>
  </si>
  <si>
    <t>免税点以上</t>
    <rPh sb="0" eb="2">
      <t>メンゼイ</t>
    </rPh>
    <rPh sb="2" eb="3">
      <t>テン</t>
    </rPh>
    <rPh sb="3" eb="5">
      <t>イジョウ</t>
    </rPh>
    <phoneticPr fontId="4"/>
  </si>
  <si>
    <t>平成11年度</t>
    <rPh sb="0" eb="2">
      <t>ヘイセイ</t>
    </rPh>
    <rPh sb="4" eb="6">
      <t>ネンド</t>
    </rPh>
    <phoneticPr fontId="4"/>
  </si>
  <si>
    <t>宅地</t>
    <rPh sb="0" eb="2">
      <t>タクチ</t>
    </rPh>
    <phoneticPr fontId="4"/>
  </si>
  <si>
    <t>その他</t>
    <rPh sb="2" eb="3">
      <t>タ</t>
    </rPh>
    <phoneticPr fontId="4"/>
  </si>
  <si>
    <t>平成12年度</t>
    <rPh sb="0" eb="2">
      <t>ヘイセイ</t>
    </rPh>
    <rPh sb="4" eb="6">
      <t>ネンド</t>
    </rPh>
    <phoneticPr fontId="4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</si>
  <si>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</si>
  <si>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</si>
  <si>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</si>
  <si>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平成17年度</t>
    <rPh sb="0" eb="2">
      <t>ヘイセイ</t>
    </rPh>
    <rPh sb="4" eb="6">
      <t>ネンド</t>
    </rPh>
    <phoneticPr fontId="4"/>
  </si>
  <si>
    <t>平成24年度</t>
    <phoneticPr fontId="4"/>
  </si>
  <si>
    <t>宅地</t>
  </si>
  <si>
    <t>平成25年度</t>
    <rPh sb="0" eb="2">
      <t>ヘイセイ</t>
    </rPh>
    <rPh sb="4" eb="6">
      <t>ネンド</t>
    </rPh>
    <phoneticPr fontId="4"/>
  </si>
  <si>
    <t>その他</t>
  </si>
  <si>
    <t>計</t>
  </si>
  <si>
    <t>田</t>
    <rPh sb="0" eb="1">
      <t>タ</t>
    </rPh>
    <phoneticPr fontId="4"/>
  </si>
  <si>
    <t>畑</t>
    <rPh sb="0" eb="1">
      <t>ハタ</t>
    </rPh>
    <phoneticPr fontId="4"/>
  </si>
  <si>
    <t>池沼</t>
    <rPh sb="0" eb="1">
      <t>イケ</t>
    </rPh>
    <rPh sb="1" eb="2">
      <t>ヌマ</t>
    </rPh>
    <phoneticPr fontId="4"/>
  </si>
  <si>
    <t>山林</t>
    <rPh sb="0" eb="2">
      <t>サンリン</t>
    </rPh>
    <phoneticPr fontId="4"/>
  </si>
  <si>
    <t>原野</t>
    <rPh sb="0" eb="2">
      <t>ゲンヤ</t>
    </rPh>
    <phoneticPr fontId="4"/>
  </si>
  <si>
    <t>雑種地</t>
    <rPh sb="0" eb="2">
      <t>ザッシュ</t>
    </rPh>
    <rPh sb="2" eb="3">
      <t>チ</t>
    </rPh>
    <phoneticPr fontId="4"/>
  </si>
  <si>
    <t>「概要調書・第2表  総括表」による。</t>
    <rPh sb="6" eb="7">
      <t>ダイ</t>
    </rPh>
    <rPh sb="8" eb="9">
      <t>ヒョウ</t>
    </rPh>
    <rPh sb="11" eb="13">
      <t>ソウカツ</t>
    </rPh>
    <rPh sb="13" eb="14">
      <t>ヒョウ</t>
    </rPh>
    <phoneticPr fontId="4"/>
  </si>
  <si>
    <t xml:space="preserve"> </t>
    <phoneticPr fontId="4"/>
  </si>
  <si>
    <t>４　家屋の概要（課税標準額等）累年比較（当初）</t>
    <rPh sb="2" eb="4">
      <t>カオク</t>
    </rPh>
    <rPh sb="5" eb="7">
      <t>ガイヨウ</t>
    </rPh>
    <rPh sb="8" eb="10">
      <t>カゼイ</t>
    </rPh>
    <rPh sb="10" eb="12">
      <t>ヒョウジュン</t>
    </rPh>
    <rPh sb="12" eb="13">
      <t>ガク</t>
    </rPh>
    <rPh sb="13" eb="14">
      <t>トウ</t>
    </rPh>
    <rPh sb="15" eb="17">
      <t>ルイネン</t>
    </rPh>
    <rPh sb="17" eb="19">
      <t>ヒカク</t>
    </rPh>
    <rPh sb="20" eb="22">
      <t>トウショ</t>
    </rPh>
    <phoneticPr fontId="4"/>
  </si>
  <si>
    <t>（単位:平方メートル・％）</t>
    <rPh sb="1" eb="3">
      <t>タンイ</t>
    </rPh>
    <rPh sb="4" eb="6">
      <t>ヘイホウ</t>
    </rPh>
    <phoneticPr fontId="4"/>
  </si>
  <si>
    <t>床面積（平方メートル）</t>
    <rPh sb="0" eb="1">
      <t>ユカ</t>
    </rPh>
    <rPh sb="1" eb="3">
      <t>メンセキ</t>
    </rPh>
    <phoneticPr fontId="4"/>
  </si>
  <si>
    <t>決定価格（千円）</t>
    <rPh sb="0" eb="2">
      <t>ケッテイ</t>
    </rPh>
    <rPh sb="2" eb="4">
      <t>カカク</t>
    </rPh>
    <rPh sb="5" eb="7">
      <t>センエン</t>
    </rPh>
    <phoneticPr fontId="4"/>
  </si>
  <si>
    <t>棟数</t>
    <rPh sb="0" eb="1">
      <t>ムネ</t>
    </rPh>
    <rPh sb="1" eb="2">
      <t>カズ</t>
    </rPh>
    <phoneticPr fontId="4"/>
  </si>
  <si>
    <t>１平方メートル当り</t>
    <rPh sb="1" eb="3">
      <t>ヘイホウ</t>
    </rPh>
    <rPh sb="7" eb="8">
      <t>アタ</t>
    </rPh>
    <phoneticPr fontId="4"/>
  </si>
  <si>
    <t>評価総面積</t>
    <rPh sb="0" eb="2">
      <t>ヒョウカ</t>
    </rPh>
    <rPh sb="2" eb="5">
      <t>ソウメンセキ</t>
    </rPh>
    <phoneticPr fontId="4"/>
  </si>
  <si>
    <t>評価総棟数</t>
    <rPh sb="0" eb="2">
      <t>ヒョウカ</t>
    </rPh>
    <rPh sb="2" eb="3">
      <t>ソウ</t>
    </rPh>
    <rPh sb="3" eb="4">
      <t>ムネ</t>
    </rPh>
    <rPh sb="4" eb="5">
      <t>カズ</t>
    </rPh>
    <phoneticPr fontId="4"/>
  </si>
  <si>
    <t>床面積の</t>
    <rPh sb="0" eb="3">
      <t>ユカメンセキ</t>
    </rPh>
    <phoneticPr fontId="4"/>
  </si>
  <si>
    <t>棟数の</t>
    <rPh sb="0" eb="1">
      <t>ムネ</t>
    </rPh>
    <rPh sb="1" eb="2">
      <t>カズ</t>
    </rPh>
    <phoneticPr fontId="4"/>
  </si>
  <si>
    <t>平成11年度</t>
    <rPh sb="0" eb="2">
      <t>ヘイセイ</t>
    </rPh>
    <rPh sb="4" eb="6">
      <t>ネンド</t>
    </rPh>
    <phoneticPr fontId="9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</si>
  <si>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</si>
  <si>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</si>
  <si>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平成12年度</t>
    <rPh sb="0" eb="2">
      <t>ヘイセイ</t>
    </rPh>
    <rPh sb="4" eb="6">
      <t>ネンド</t>
    </rPh>
    <phoneticPr fontId="9"/>
  </si>
  <si>
    <t>木       造</t>
    <rPh sb="0" eb="1">
      <t>キ</t>
    </rPh>
    <rPh sb="8" eb="9">
      <t>ヅクリ</t>
    </rPh>
    <phoneticPr fontId="4"/>
  </si>
  <si>
    <t>非  木  造</t>
    <rPh sb="0" eb="1">
      <t>ヒ</t>
    </rPh>
    <rPh sb="3" eb="4">
      <t>キ</t>
    </rPh>
    <rPh sb="6" eb="7">
      <t>ヅクリ</t>
    </rPh>
    <phoneticPr fontId="4"/>
  </si>
  <si>
    <t>平成13年度</t>
    <rPh sb="0" eb="2">
      <t>ヘイセイ</t>
    </rPh>
    <rPh sb="4" eb="6">
      <t>ネンド</t>
    </rPh>
    <phoneticPr fontId="9"/>
  </si>
  <si>
    <t>平成14年度</t>
    <rPh sb="0" eb="2">
      <t>ヘイセイ</t>
    </rPh>
    <rPh sb="4" eb="6">
      <t>ネンド</t>
    </rPh>
    <phoneticPr fontId="9"/>
  </si>
  <si>
    <t>平成15年度</t>
    <rPh sb="0" eb="2">
      <t>ヘイセイ</t>
    </rPh>
    <rPh sb="4" eb="6">
      <t>ネンド</t>
    </rPh>
    <phoneticPr fontId="9"/>
  </si>
  <si>
    <t>平成16年度</t>
    <rPh sb="0" eb="2">
      <t>ヘイセイ</t>
    </rPh>
    <rPh sb="4" eb="6">
      <t>ネンド</t>
    </rPh>
    <phoneticPr fontId="9"/>
  </si>
  <si>
    <t>平成17年度</t>
    <rPh sb="0" eb="2">
      <t>ヘイセイ</t>
    </rPh>
    <rPh sb="4" eb="6">
      <t>ネンド</t>
    </rPh>
    <phoneticPr fontId="9"/>
  </si>
  <si>
    <t>平成18年度</t>
    <rPh sb="0" eb="2">
      <t>ヘイセイ</t>
    </rPh>
    <rPh sb="4" eb="6">
      <t>ネンド</t>
    </rPh>
    <phoneticPr fontId="9"/>
  </si>
  <si>
    <t>平成19年度</t>
    <rPh sb="0" eb="2">
      <t>ヘイセイ</t>
    </rPh>
    <rPh sb="4" eb="6">
      <t>ネンド</t>
    </rPh>
    <phoneticPr fontId="9"/>
  </si>
  <si>
    <t>平成20年度</t>
    <rPh sb="0" eb="2">
      <t>ヘイセイ</t>
    </rPh>
    <rPh sb="4" eb="6">
      <t>ネンド</t>
    </rPh>
    <phoneticPr fontId="9"/>
  </si>
  <si>
    <t>平成21年度</t>
    <rPh sb="0" eb="2">
      <t>ヘイセイ</t>
    </rPh>
    <rPh sb="4" eb="6">
      <t>ネンド</t>
    </rPh>
    <phoneticPr fontId="9"/>
  </si>
  <si>
    <t>平成22年度</t>
    <rPh sb="0" eb="2">
      <t>ヘイセイ</t>
    </rPh>
    <rPh sb="4" eb="6">
      <t>ネンド</t>
    </rPh>
    <phoneticPr fontId="9"/>
  </si>
  <si>
    <t>平成23年度</t>
    <rPh sb="0" eb="2">
      <t>ヘイセイ</t>
    </rPh>
    <rPh sb="4" eb="6">
      <t>ネンド</t>
    </rPh>
    <phoneticPr fontId="9"/>
  </si>
  <si>
    <t>平成25年度</t>
    <phoneticPr fontId="4"/>
  </si>
  <si>
    <t>木       造</t>
  </si>
  <si>
    <t>非  木  造</t>
  </si>
  <si>
    <t>平成26年度</t>
    <phoneticPr fontId="4"/>
  </si>
  <si>
    <t>平成27年度</t>
    <phoneticPr fontId="4"/>
  </si>
  <si>
    <t>令和元年度</t>
    <rPh sb="0" eb="3">
      <t>レイワモト</t>
    </rPh>
    <phoneticPr fontId="4"/>
  </si>
  <si>
    <t>令和2年度</t>
    <rPh sb="0" eb="1">
      <t>レイ</t>
    </rPh>
    <rPh sb="1" eb="2">
      <t>カズ</t>
    </rPh>
    <rPh sb="3" eb="4">
      <t>ネン</t>
    </rPh>
    <phoneticPr fontId="4"/>
  </si>
  <si>
    <t>令和3年度</t>
    <rPh sb="0" eb="1">
      <t>レイ</t>
    </rPh>
    <rPh sb="1" eb="2">
      <t>カズ</t>
    </rPh>
    <rPh sb="3" eb="4">
      <t>ネン</t>
    </rPh>
    <phoneticPr fontId="4"/>
  </si>
  <si>
    <t>令和4年度</t>
    <rPh sb="0" eb="1">
      <t>レイ</t>
    </rPh>
    <rPh sb="1" eb="2">
      <t>カズ</t>
    </rPh>
    <rPh sb="3" eb="4">
      <t>ネン</t>
    </rPh>
    <phoneticPr fontId="4"/>
  </si>
  <si>
    <t>令和5年度</t>
    <rPh sb="0" eb="1">
      <t>レイ</t>
    </rPh>
    <rPh sb="1" eb="2">
      <t>カズ</t>
    </rPh>
    <rPh sb="3" eb="5">
      <t>ネンド</t>
    </rPh>
    <phoneticPr fontId="9"/>
  </si>
  <si>
    <t>専用住宅</t>
    <rPh sb="0" eb="2">
      <t>センヨウ</t>
    </rPh>
    <rPh sb="2" eb="4">
      <t>ジュウタク</t>
    </rPh>
    <phoneticPr fontId="4"/>
  </si>
  <si>
    <t>共同住宅寄宿舎</t>
    <rPh sb="0" eb="2">
      <t>キョウドウ</t>
    </rPh>
    <rPh sb="2" eb="4">
      <t>ジュウタク</t>
    </rPh>
    <rPh sb="4" eb="7">
      <t>キシュクシャ</t>
    </rPh>
    <phoneticPr fontId="4"/>
  </si>
  <si>
    <t>木</t>
    <rPh sb="0" eb="1">
      <t>キ</t>
    </rPh>
    <phoneticPr fontId="4"/>
  </si>
  <si>
    <t>併用住宅</t>
    <rPh sb="0" eb="2">
      <t>ヘイヨウ</t>
    </rPh>
    <rPh sb="2" eb="4">
      <t>ジュウタク</t>
    </rPh>
    <phoneticPr fontId="4"/>
  </si>
  <si>
    <t>旅館等</t>
    <rPh sb="0" eb="2">
      <t>リョカン</t>
    </rPh>
    <rPh sb="2" eb="3">
      <t>トウ</t>
    </rPh>
    <phoneticPr fontId="4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</si>
  <si>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4"/>
  </si>
  <si>
    <t>造</t>
    <rPh sb="0" eb="1">
      <t>ツク</t>
    </rPh>
    <phoneticPr fontId="4"/>
  </si>
  <si>
    <t>工場・倉庫</t>
    <rPh sb="0" eb="2">
      <t>コウジョウ</t>
    </rPh>
    <rPh sb="3" eb="5">
      <t>ソウコ</t>
    </rPh>
    <phoneticPr fontId="4"/>
  </si>
  <si>
    <t>事務所・店舗・百貨店</t>
    <rPh sb="0" eb="2">
      <t>ジム</t>
    </rPh>
    <rPh sb="2" eb="3">
      <t>ショ</t>
    </rPh>
    <rPh sb="4" eb="6">
      <t>テンポ</t>
    </rPh>
    <rPh sb="7" eb="10">
      <t>ヒャッカテン</t>
    </rPh>
    <phoneticPr fontId="4"/>
  </si>
  <si>
    <t>非</t>
    <rPh sb="0" eb="1">
      <t>ヒ</t>
    </rPh>
    <phoneticPr fontId="4"/>
  </si>
  <si>
    <t>住宅・アパート</t>
    <rPh sb="0" eb="2">
      <t>ジュウタク</t>
    </rPh>
    <phoneticPr fontId="4"/>
  </si>
  <si>
    <t>木</t>
    <rPh sb="0" eb="1">
      <t>モク</t>
    </rPh>
    <phoneticPr fontId="4"/>
  </si>
  <si>
    <t>ホテル・病院</t>
    <rPh sb="4" eb="6">
      <t>ビョウイン</t>
    </rPh>
    <phoneticPr fontId="4"/>
  </si>
  <si>
    <t>工場・倉庫・市場</t>
    <rPh sb="0" eb="2">
      <t>コウジョウ</t>
    </rPh>
    <rPh sb="3" eb="5">
      <t>ソウコ</t>
    </rPh>
    <rPh sb="6" eb="8">
      <t>シジョウ</t>
    </rPh>
    <phoneticPr fontId="4"/>
  </si>
  <si>
    <t>「概要調書・第24表～第29表」による。</t>
    <rPh sb="1" eb="3">
      <t>ガイヨウ</t>
    </rPh>
    <rPh sb="3" eb="5">
      <t>チョウショ</t>
    </rPh>
    <rPh sb="6" eb="7">
      <t>ダイ</t>
    </rPh>
    <rPh sb="9" eb="10">
      <t>ヒョウ</t>
    </rPh>
    <rPh sb="11" eb="12">
      <t>ダイ</t>
    </rPh>
    <rPh sb="14" eb="15">
      <t>ヒョウ</t>
    </rPh>
    <phoneticPr fontId="4"/>
  </si>
  <si>
    <t>５ 償却資産の概要（課税標準額等）累年比較（当初）</t>
    <rPh sb="2" eb="4">
      <t>ショウキャク</t>
    </rPh>
    <rPh sb="4" eb="6">
      <t>シサン</t>
    </rPh>
    <rPh sb="7" eb="9">
      <t>ガイヨウ</t>
    </rPh>
    <rPh sb="10" eb="12">
      <t>カゼイ</t>
    </rPh>
    <rPh sb="12" eb="14">
      <t>ヒョウジュン</t>
    </rPh>
    <rPh sb="14" eb="15">
      <t>ガク</t>
    </rPh>
    <rPh sb="15" eb="16">
      <t>トウ</t>
    </rPh>
    <rPh sb="17" eb="19">
      <t>ルイネン</t>
    </rPh>
    <rPh sb="19" eb="21">
      <t>ヒカク</t>
    </rPh>
    <rPh sb="22" eb="24">
      <t>トウショ</t>
    </rPh>
    <phoneticPr fontId="4"/>
  </si>
  <si>
    <t>（単位:千円・％）</t>
    <rPh sb="1" eb="3">
      <t>タンイ</t>
    </rPh>
    <rPh sb="4" eb="6">
      <t>センエン</t>
    </rPh>
    <phoneticPr fontId="4"/>
  </si>
  <si>
    <t>決定価格</t>
    <rPh sb="0" eb="2">
      <t>ケッテイ</t>
    </rPh>
    <rPh sb="2" eb="4">
      <t>カカク</t>
    </rPh>
    <phoneticPr fontId="4"/>
  </si>
  <si>
    <t>市長決定分</t>
    <rPh sb="0" eb="2">
      <t>シチョウ</t>
    </rPh>
    <rPh sb="2" eb="4">
      <t>ケッテイ</t>
    </rPh>
    <rPh sb="4" eb="5">
      <t>ブン</t>
    </rPh>
    <phoneticPr fontId="4"/>
  </si>
  <si>
    <t>自治大臣配分</t>
    <rPh sb="0" eb="2">
      <t>ジチ</t>
    </rPh>
    <rPh sb="2" eb="4">
      <t>ダイジン</t>
    </rPh>
    <rPh sb="4" eb="6">
      <t>ハイブン</t>
    </rPh>
    <phoneticPr fontId="4"/>
  </si>
  <si>
    <t>知事配分</t>
    <rPh sb="0" eb="2">
      <t>チジ</t>
    </rPh>
    <rPh sb="2" eb="4">
      <t>ハイブン</t>
    </rPh>
    <phoneticPr fontId="4"/>
  </si>
  <si>
    <t>市長決定分</t>
  </si>
  <si>
    <t>総務大臣配分</t>
    <rPh sb="0" eb="2">
      <t>ソウム</t>
    </rPh>
    <phoneticPr fontId="4"/>
  </si>
  <si>
    <t>知事配分</t>
  </si>
  <si>
    <t>平成24年度</t>
    <rPh sb="0" eb="2">
      <t>ヘイセイ</t>
    </rPh>
    <rPh sb="4" eb="6">
      <t>ネンド</t>
    </rPh>
    <phoneticPr fontId="4"/>
  </si>
  <si>
    <t>-</t>
  </si>
  <si>
    <t>-</t>
    <phoneticPr fontId="4"/>
  </si>
  <si>
    <t>総務大臣配分</t>
  </si>
  <si>
    <t>「概要調書・第70表」による</t>
    <rPh sb="1" eb="3">
      <t>ガイヨウ</t>
    </rPh>
    <rPh sb="3" eb="5">
      <t>チョウショ</t>
    </rPh>
    <rPh sb="6" eb="7">
      <t>ダイ</t>
    </rPh>
    <rPh sb="9" eb="10">
      <t>ヒョウ</t>
    </rPh>
    <phoneticPr fontId="4"/>
  </si>
  <si>
    <t>［参考］令和5年度市長決定分の内訳</t>
    <rPh sb="1" eb="3">
      <t>サンコウ</t>
    </rPh>
    <rPh sb="4" eb="5">
      <t>レイ</t>
    </rPh>
    <rPh sb="5" eb="6">
      <t>カズ</t>
    </rPh>
    <rPh sb="7" eb="9">
      <t>ネンド</t>
    </rPh>
    <rPh sb="9" eb="11">
      <t>シチョウ</t>
    </rPh>
    <rPh sb="11" eb="13">
      <t>ケッテイ</t>
    </rPh>
    <rPh sb="13" eb="14">
      <t>ブン</t>
    </rPh>
    <rPh sb="15" eb="17">
      <t>ウチワケ</t>
    </rPh>
    <phoneticPr fontId="4"/>
  </si>
  <si>
    <t>（単位:千円）</t>
    <rPh sb="1" eb="3">
      <t>タンイ</t>
    </rPh>
    <rPh sb="4" eb="6">
      <t>センエン</t>
    </rPh>
    <phoneticPr fontId="4"/>
  </si>
  <si>
    <t>課税標準額の内訳</t>
    <rPh sb="0" eb="2">
      <t>カゼイ</t>
    </rPh>
    <rPh sb="2" eb="4">
      <t>ヒョウジュン</t>
    </rPh>
    <rPh sb="4" eb="5">
      <t>ガク</t>
    </rPh>
    <rPh sb="6" eb="8">
      <t>ウチワケ</t>
    </rPh>
    <phoneticPr fontId="4"/>
  </si>
  <si>
    <t>特例適用のもの</t>
    <rPh sb="0" eb="2">
      <t>トクレイ</t>
    </rPh>
    <rPh sb="2" eb="4">
      <t>テキヨウ</t>
    </rPh>
    <phoneticPr fontId="4"/>
  </si>
  <si>
    <t>特例適用以外のもの</t>
    <rPh sb="0" eb="2">
      <t>トクレイ</t>
    </rPh>
    <rPh sb="2" eb="4">
      <t>テキヨウ</t>
    </rPh>
    <rPh sb="4" eb="6">
      <t>イガイ</t>
    </rPh>
    <phoneticPr fontId="4"/>
  </si>
  <si>
    <t>構築物</t>
    <rPh sb="0" eb="3">
      <t>コウチクブツ</t>
    </rPh>
    <phoneticPr fontId="4"/>
  </si>
  <si>
    <t>機械及び装置</t>
    <rPh sb="0" eb="2">
      <t>キカイ</t>
    </rPh>
    <rPh sb="2" eb="3">
      <t>オヨ</t>
    </rPh>
    <rPh sb="4" eb="6">
      <t>ソウチ</t>
    </rPh>
    <phoneticPr fontId="4"/>
  </si>
  <si>
    <t>船舶</t>
    <rPh sb="0" eb="2">
      <t>センパク</t>
    </rPh>
    <phoneticPr fontId="4"/>
  </si>
  <si>
    <t>航空機</t>
    <rPh sb="0" eb="3">
      <t>コウクウキ</t>
    </rPh>
    <phoneticPr fontId="4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</si>
  <si>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4"/>
  </si>
  <si>
    <t>工具・器具及び備品</t>
    <rPh sb="0" eb="2">
      <t>コウグ</t>
    </rPh>
    <rPh sb="3" eb="5">
      <t>キグ</t>
    </rPh>
    <rPh sb="5" eb="6">
      <t>オヨ</t>
    </rPh>
    <rPh sb="7" eb="9">
      <t>ビヒン</t>
    </rPh>
    <phoneticPr fontId="4"/>
  </si>
  <si>
    <t>６　軽減税額の累年比較（当初）</t>
    <rPh sb="2" eb="4">
      <t>ケイゲン</t>
    </rPh>
    <rPh sb="4" eb="6">
      <t>ゼイガク</t>
    </rPh>
    <rPh sb="7" eb="9">
      <t>ルイネン</t>
    </rPh>
    <rPh sb="9" eb="11">
      <t>ヒカク</t>
    </rPh>
    <rPh sb="12" eb="14">
      <t>トウショ</t>
    </rPh>
    <phoneticPr fontId="4"/>
  </si>
  <si>
    <t>(単位:千円・平方メートル・％）</t>
  </si>
  <si>
    <t>該当条文</t>
    <rPh sb="0" eb="2">
      <t>ガイトウ</t>
    </rPh>
    <rPh sb="2" eb="4">
      <t>ジョウブン</t>
    </rPh>
    <phoneticPr fontId="4"/>
  </si>
  <si>
    <t>法附則第15条の6第1項
（新築住宅）</t>
    <phoneticPr fontId="4"/>
  </si>
  <si>
    <t>床面積</t>
    <rPh sb="0" eb="3">
      <t>ユカメンセキ</t>
    </rPh>
    <phoneticPr fontId="4"/>
  </si>
  <si>
    <t>軽減税額</t>
    <rPh sb="0" eb="2">
      <t>ケイゲン</t>
    </rPh>
    <rPh sb="2" eb="4">
      <t>ゼイガク</t>
    </rPh>
    <phoneticPr fontId="4"/>
  </si>
  <si>
    <t>法附則第15条の6第2項
（中高層耐火住宅）</t>
    <phoneticPr fontId="4"/>
  </si>
  <si>
    <t>法附則第15条の7第1項
（長期優良住宅）</t>
    <phoneticPr fontId="4"/>
  </si>
  <si>
    <t>法附則第15条の7第2項
（長期優良・中高
層耐火住宅）</t>
    <phoneticPr fontId="4"/>
  </si>
  <si>
    <t>法附則第15条の8第1項
（市街地再開発事業）</t>
    <rPh sb="14" eb="17">
      <t>シガイチ</t>
    </rPh>
    <rPh sb="17" eb="20">
      <t>サイカイハツ</t>
    </rPh>
    <rPh sb="20" eb="22">
      <t>ジギョウ</t>
    </rPh>
    <phoneticPr fontId="4"/>
  </si>
  <si>
    <t>床面積</t>
  </si>
  <si>
    <t>前年比</t>
  </si>
  <si>
    <t>軽減税額</t>
  </si>
  <si>
    <t>法附則第15条の8第2項
（高齢者優良賃貸住宅）</t>
    <rPh sb="14" eb="17">
      <t>コウレイシャ</t>
    </rPh>
    <rPh sb="17" eb="19">
      <t>ユウリョウ</t>
    </rPh>
    <rPh sb="19" eb="21">
      <t>チンタイ</t>
    </rPh>
    <rPh sb="21" eb="23">
      <t>ジュウタク</t>
    </rPh>
    <phoneticPr fontId="4"/>
  </si>
  <si>
    <t>法附則第15条の9第1項
（耐震基準適合住宅）</t>
    <phoneticPr fontId="4"/>
  </si>
  <si>
    <t>法附則第15条の9第4項
（バリアフリー改修住宅）
（区分所有以外）</t>
    <rPh sb="20" eb="22">
      <t>カイシュウ</t>
    </rPh>
    <rPh sb="22" eb="24">
      <t>ジュウタク</t>
    </rPh>
    <rPh sb="27" eb="29">
      <t>クブン</t>
    </rPh>
    <rPh sb="29" eb="31">
      <t>ショユウ</t>
    </rPh>
    <rPh sb="31" eb="33">
      <t>イガイ</t>
    </rPh>
    <phoneticPr fontId="4"/>
  </si>
  <si>
    <t>法附則第15条の9第5項
（バリアフリー改修住宅）
（区分所有）</t>
    <rPh sb="20" eb="22">
      <t>カイシュウ</t>
    </rPh>
    <rPh sb="22" eb="24">
      <t>ジュウタク</t>
    </rPh>
    <rPh sb="27" eb="29">
      <t>クブン</t>
    </rPh>
    <rPh sb="29" eb="31">
      <t>ショユウ</t>
    </rPh>
    <phoneticPr fontId="4"/>
  </si>
  <si>
    <t>法附則第15条の9第9項
（熱損失防止改修住宅）</t>
    <rPh sb="21" eb="23">
      <t>ジュウタク</t>
    </rPh>
    <phoneticPr fontId="4"/>
  </si>
  <si>
    <t>平成27年附則第17条12項
（高齢者優良賃貸住宅）</t>
    <rPh sb="0" eb="2">
      <t>ヘイセイ</t>
    </rPh>
    <rPh sb="4" eb="5">
      <t>ネン</t>
    </rPh>
    <rPh sb="13" eb="14">
      <t>コウ</t>
    </rPh>
    <phoneticPr fontId="4"/>
  </si>
  <si>
    <t>平成28年附則第18条11項
（バリアフリー改修住宅）</t>
    <rPh sb="0" eb="2">
      <t>ヘイセイ</t>
    </rPh>
    <rPh sb="4" eb="5">
      <t>ネン</t>
    </rPh>
    <rPh sb="13" eb="14">
      <t>コウ</t>
    </rPh>
    <phoneticPr fontId="4"/>
  </si>
  <si>
    <t>「概要調書・第37表」による。</t>
    <phoneticPr fontId="4"/>
  </si>
  <si>
    <t>７　課税標準の特例累年比較（当初）</t>
    <rPh sb="2" eb="4">
      <t>カゼイ</t>
    </rPh>
    <rPh sb="4" eb="6">
      <t>ヒョウジュン</t>
    </rPh>
    <rPh sb="7" eb="9">
      <t>トクレイ</t>
    </rPh>
    <rPh sb="9" eb="11">
      <t>ルイネン</t>
    </rPh>
    <rPh sb="11" eb="13">
      <t>ヒカク</t>
    </rPh>
    <rPh sb="14" eb="16">
      <t>トウショ</t>
    </rPh>
    <phoneticPr fontId="4"/>
  </si>
  <si>
    <t>(1)土地</t>
    <rPh sb="3" eb="5">
      <t>トチ</t>
    </rPh>
    <phoneticPr fontId="4"/>
  </si>
  <si>
    <t>該当条文等</t>
    <rPh sb="0" eb="1">
      <t>ガイ</t>
    </rPh>
    <rPh sb="1" eb="2">
      <t>トウ</t>
    </rPh>
    <rPh sb="2" eb="3">
      <t>ジョウ</t>
    </rPh>
    <rPh sb="3" eb="4">
      <t>ブン</t>
    </rPh>
    <rPh sb="4" eb="5">
      <t>トウ</t>
    </rPh>
    <phoneticPr fontId="4"/>
  </si>
  <si>
    <t>決定価格</t>
  </si>
  <si>
    <t>課税標準額</t>
  </si>
  <si>
    <t>法349条の3第9項</t>
    <rPh sb="0" eb="1">
      <t>ホウ</t>
    </rPh>
    <rPh sb="4" eb="5">
      <t>ジョウ</t>
    </rPh>
    <rPh sb="7" eb="8">
      <t>ダイ</t>
    </rPh>
    <rPh sb="9" eb="10">
      <t>コウ</t>
    </rPh>
    <phoneticPr fontId="4"/>
  </si>
  <si>
    <t>日本放送協会</t>
    <rPh sb="0" eb="2">
      <t>ニホン</t>
    </rPh>
    <rPh sb="2" eb="4">
      <t>ホウソウ</t>
    </rPh>
    <rPh sb="4" eb="6">
      <t>キョウカイ</t>
    </rPh>
    <phoneticPr fontId="4"/>
  </si>
  <si>
    <t>法349条の3第11項</t>
    <rPh sb="7" eb="8">
      <t>ダイ</t>
    </rPh>
    <rPh sb="10" eb="11">
      <t>コウ</t>
    </rPh>
    <phoneticPr fontId="4"/>
  </si>
  <si>
    <t>登録有形文化財等の敷地</t>
    <rPh sb="0" eb="2">
      <t>トウロク</t>
    </rPh>
    <rPh sb="2" eb="4">
      <t>ユウケイ</t>
    </rPh>
    <rPh sb="4" eb="7">
      <t>ブンカザイ</t>
    </rPh>
    <rPh sb="7" eb="8">
      <t>トウ</t>
    </rPh>
    <rPh sb="9" eb="11">
      <t>シキチ</t>
    </rPh>
    <phoneticPr fontId="4"/>
  </si>
  <si>
    <t>法附則第15条第24項</t>
    <rPh sb="7" eb="8">
      <t>ダイ</t>
    </rPh>
    <rPh sb="10" eb="11">
      <t>コウ</t>
    </rPh>
    <phoneticPr fontId="4"/>
  </si>
  <si>
    <t>日本郵政公社民営化に係る承継特例</t>
    <rPh sb="0" eb="2">
      <t>ニホン</t>
    </rPh>
    <rPh sb="2" eb="4">
      <t>ユウセイ</t>
    </rPh>
    <rPh sb="4" eb="6">
      <t>コウシャ</t>
    </rPh>
    <rPh sb="6" eb="9">
      <t>ミンエイカ</t>
    </rPh>
    <rPh sb="10" eb="11">
      <t>カカ</t>
    </rPh>
    <rPh sb="12" eb="14">
      <t>ショウケイ</t>
    </rPh>
    <rPh sb="14" eb="16">
      <t>トクレイ</t>
    </rPh>
    <phoneticPr fontId="4"/>
  </si>
  <si>
    <t>法附則第15条第53項</t>
    <rPh sb="7" eb="8">
      <t>ダイ</t>
    </rPh>
    <rPh sb="10" eb="11">
      <t>コウ</t>
    </rPh>
    <phoneticPr fontId="4"/>
  </si>
  <si>
    <t>軽自動車検査協会</t>
    <rPh sb="0" eb="4">
      <t>ケイジドウシャ</t>
    </rPh>
    <rPh sb="4" eb="6">
      <t>ケンサ</t>
    </rPh>
    <rPh sb="6" eb="8">
      <t>キョウカイ</t>
    </rPh>
    <phoneticPr fontId="4"/>
  </si>
  <si>
    <t>法附則第15条第32項</t>
    <rPh sb="7" eb="8">
      <t>ダイ</t>
    </rPh>
    <rPh sb="10" eb="11">
      <t>コウ</t>
    </rPh>
    <phoneticPr fontId="4"/>
  </si>
  <si>
    <t>農地中間管理機構に賃貸借権設定した農地（存続期間10年以上）</t>
    <rPh sb="0" eb="2">
      <t>ノウチ</t>
    </rPh>
    <rPh sb="2" eb="4">
      <t>チュウカン</t>
    </rPh>
    <rPh sb="4" eb="6">
      <t>カンリ</t>
    </rPh>
    <rPh sb="6" eb="8">
      <t>キコウ</t>
    </rPh>
    <rPh sb="9" eb="12">
      <t>チンタイシャク</t>
    </rPh>
    <rPh sb="12" eb="13">
      <t>ケン</t>
    </rPh>
    <rPh sb="13" eb="15">
      <t>セッテイ</t>
    </rPh>
    <rPh sb="17" eb="19">
      <t>ノウチ</t>
    </rPh>
    <rPh sb="20" eb="22">
      <t>ソンゾク</t>
    </rPh>
    <rPh sb="22" eb="24">
      <t>キカン</t>
    </rPh>
    <rPh sb="26" eb="29">
      <t>ネンイジョウ</t>
    </rPh>
    <phoneticPr fontId="4"/>
  </si>
  <si>
    <t>農地中間管理機構に賃貸借権設定した農地（存続期間15年以上）</t>
    <rPh sb="0" eb="2">
      <t>ノウチ</t>
    </rPh>
    <rPh sb="2" eb="4">
      <t>チュウカン</t>
    </rPh>
    <rPh sb="4" eb="6">
      <t>カンリ</t>
    </rPh>
    <rPh sb="6" eb="8">
      <t>キコウ</t>
    </rPh>
    <rPh sb="9" eb="12">
      <t>チンタイシャク</t>
    </rPh>
    <rPh sb="12" eb="13">
      <t>ケン</t>
    </rPh>
    <rPh sb="13" eb="15">
      <t>セッテイ</t>
    </rPh>
    <rPh sb="17" eb="19">
      <t>ノウチ</t>
    </rPh>
    <rPh sb="20" eb="22">
      <t>ソンゾク</t>
    </rPh>
    <rPh sb="22" eb="24">
      <t>キカン</t>
    </rPh>
    <rPh sb="26" eb="29">
      <t>ネンイジョウ</t>
    </rPh>
    <phoneticPr fontId="4"/>
  </si>
  <si>
    <t>法附則第15条第33項</t>
    <rPh sb="7" eb="8">
      <t>ダイ</t>
    </rPh>
    <rPh sb="10" eb="11">
      <t>コウ</t>
    </rPh>
    <phoneticPr fontId="4"/>
  </si>
  <si>
    <t>特定事業所内保育施設</t>
    <rPh sb="0" eb="2">
      <t>トクテイ</t>
    </rPh>
    <rPh sb="2" eb="5">
      <t>ジギョウショ</t>
    </rPh>
    <rPh sb="5" eb="6">
      <t>ナイ</t>
    </rPh>
    <rPh sb="6" eb="8">
      <t>ホイク</t>
    </rPh>
    <rPh sb="8" eb="10">
      <t>シセツ</t>
    </rPh>
    <phoneticPr fontId="4"/>
  </si>
  <si>
    <t>法附則第15条の3第1項</t>
    <rPh sb="0" eb="1">
      <t>ホウ</t>
    </rPh>
    <rPh sb="1" eb="3">
      <t>フソク</t>
    </rPh>
    <rPh sb="3" eb="4">
      <t>ダイ</t>
    </rPh>
    <rPh sb="6" eb="7">
      <t>ジョウ</t>
    </rPh>
    <rPh sb="9" eb="10">
      <t>ダイ</t>
    </rPh>
    <rPh sb="11" eb="12">
      <t>コウ</t>
    </rPh>
    <phoneticPr fontId="4"/>
  </si>
  <si>
    <t>旅客会社等に係る承継特例</t>
    <rPh sb="0" eb="2">
      <t>リョカク</t>
    </rPh>
    <rPh sb="2" eb="4">
      <t>カイシャ</t>
    </rPh>
    <rPh sb="4" eb="5">
      <t>トウ</t>
    </rPh>
    <rPh sb="6" eb="7">
      <t>カカ</t>
    </rPh>
    <rPh sb="8" eb="10">
      <t>ショウケイ</t>
    </rPh>
    <rPh sb="10" eb="12">
      <t>トクレイ</t>
    </rPh>
    <phoneticPr fontId="4"/>
  </si>
  <si>
    <t>法349条の3第28項</t>
    <phoneticPr fontId="4"/>
  </si>
  <si>
    <t>(2)家屋</t>
    <rPh sb="3" eb="5">
      <t>カオク</t>
    </rPh>
    <phoneticPr fontId="4"/>
  </si>
  <si>
    <t>令和元年度</t>
    <phoneticPr fontId="4"/>
  </si>
  <si>
    <t>特例価額</t>
    <rPh sb="0" eb="2">
      <t>トクレイ</t>
    </rPh>
    <rPh sb="2" eb="4">
      <t>カガク</t>
    </rPh>
    <phoneticPr fontId="4"/>
  </si>
  <si>
    <t>特例価額</t>
  </si>
  <si>
    <t>日本放送協会用家屋</t>
    <rPh sb="0" eb="2">
      <t>ニホン</t>
    </rPh>
    <rPh sb="2" eb="4">
      <t>ホウソウ</t>
    </rPh>
    <rPh sb="4" eb="6">
      <t>キョウカイ</t>
    </rPh>
    <rPh sb="6" eb="7">
      <t>ヨウ</t>
    </rPh>
    <rPh sb="7" eb="9">
      <t>カオク</t>
    </rPh>
    <phoneticPr fontId="4"/>
  </si>
  <si>
    <t>法349条の3第11項</t>
    <phoneticPr fontId="4"/>
  </si>
  <si>
    <t>登録有形文化財等</t>
    <rPh sb="0" eb="2">
      <t>トウロク</t>
    </rPh>
    <rPh sb="2" eb="4">
      <t>ユウケイ</t>
    </rPh>
    <rPh sb="4" eb="7">
      <t>ブンカザイ</t>
    </rPh>
    <rPh sb="7" eb="8">
      <t>トウ</t>
    </rPh>
    <phoneticPr fontId="4"/>
  </si>
  <si>
    <t>法349条の3第23項</t>
    <phoneticPr fontId="4"/>
  </si>
  <si>
    <t>信用協同組合等</t>
    <phoneticPr fontId="4"/>
  </si>
  <si>
    <t>法349条の3第30項</t>
    <rPh sb="0" eb="1">
      <t>ホウ</t>
    </rPh>
    <rPh sb="4" eb="5">
      <t>ジョウ</t>
    </rPh>
    <rPh sb="7" eb="8">
      <t>ダイ</t>
    </rPh>
    <rPh sb="10" eb="11">
      <t>コウ</t>
    </rPh>
    <phoneticPr fontId="4"/>
  </si>
  <si>
    <t>特定信用協同組合等（既存分）</t>
    <rPh sb="0" eb="2">
      <t>トクテイ</t>
    </rPh>
    <rPh sb="2" eb="4">
      <t>シンヨウ</t>
    </rPh>
    <rPh sb="4" eb="6">
      <t>キョウドウ</t>
    </rPh>
    <rPh sb="6" eb="8">
      <t>クミアイ</t>
    </rPh>
    <rPh sb="8" eb="9">
      <t>トウ</t>
    </rPh>
    <rPh sb="10" eb="12">
      <t>キゾン</t>
    </rPh>
    <rPh sb="12" eb="13">
      <t>ブン</t>
    </rPh>
    <phoneticPr fontId="4"/>
  </si>
  <si>
    <t>法附則第15条第26項</t>
    <rPh sb="7" eb="8">
      <t>ダイ</t>
    </rPh>
    <rPh sb="10" eb="11">
      <t>コウ</t>
    </rPh>
    <phoneticPr fontId="4"/>
  </si>
  <si>
    <t>鉄軌道事業者等が駅で行う改良工事</t>
    <rPh sb="0" eb="2">
      <t>テッキ</t>
    </rPh>
    <rPh sb="2" eb="3">
      <t>ミチ</t>
    </rPh>
    <rPh sb="3" eb="6">
      <t>ジギョウシャ</t>
    </rPh>
    <rPh sb="6" eb="7">
      <t>トウ</t>
    </rPh>
    <rPh sb="8" eb="9">
      <t>エキ</t>
    </rPh>
    <rPh sb="10" eb="11">
      <t>オコナ</t>
    </rPh>
    <rPh sb="12" eb="14">
      <t>カイリョウ</t>
    </rPh>
    <rPh sb="14" eb="16">
      <t>コウジ</t>
    </rPh>
    <phoneticPr fontId="4"/>
  </si>
  <si>
    <t>旅客会社等に係る承継特例</t>
  </si>
  <si>
    <t>平成７年附則第６条第５項</t>
    <rPh sb="0" eb="2">
      <t>ヘイセイ</t>
    </rPh>
    <rPh sb="3" eb="4">
      <t>ネン</t>
    </rPh>
    <rPh sb="4" eb="6">
      <t>フソク</t>
    </rPh>
    <rPh sb="6" eb="7">
      <t>ダイ</t>
    </rPh>
    <rPh sb="8" eb="9">
      <t>ジョウ</t>
    </rPh>
    <rPh sb="9" eb="10">
      <t>ダイ</t>
    </rPh>
    <rPh sb="11" eb="12">
      <t>コウ</t>
    </rPh>
    <phoneticPr fontId="4"/>
  </si>
  <si>
    <t>平成14年附則第5条第18項</t>
    <rPh sb="0" eb="2">
      <t>ヘイセイ</t>
    </rPh>
    <rPh sb="4" eb="5">
      <t>ネン</t>
    </rPh>
    <rPh sb="5" eb="7">
      <t>フソク</t>
    </rPh>
    <rPh sb="7" eb="8">
      <t>ダイ</t>
    </rPh>
    <rPh sb="9" eb="10">
      <t>ジョウ</t>
    </rPh>
    <rPh sb="10" eb="11">
      <t>ダイ</t>
    </rPh>
    <rPh sb="13" eb="14">
      <t>コウ</t>
    </rPh>
    <phoneticPr fontId="4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</si>
  <si>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</si>
  <si>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平成15年附則第11条第17項</t>
    <rPh sb="0" eb="2">
      <t>ヘイセイ</t>
    </rPh>
    <rPh sb="4" eb="5">
      <t>ネン</t>
    </rPh>
    <rPh sb="5" eb="7">
      <t>フソク</t>
    </rPh>
    <rPh sb="7" eb="8">
      <t>ダイ</t>
    </rPh>
    <rPh sb="10" eb="11">
      <t>ジョウ</t>
    </rPh>
    <rPh sb="11" eb="12">
      <t>ダイ</t>
    </rPh>
    <rPh sb="14" eb="15">
      <t>コウ</t>
    </rPh>
    <phoneticPr fontId="4"/>
  </si>
  <si>
    <t>路外駐車場</t>
    <rPh sb="0" eb="1">
      <t>ロ</t>
    </rPh>
    <rPh sb="1" eb="2">
      <t>ガイ</t>
    </rPh>
    <rPh sb="2" eb="5">
      <t>チュウシャジョウ</t>
    </rPh>
    <phoneticPr fontId="4"/>
  </si>
  <si>
    <t>平成15年附則第11条第９項</t>
    <rPh sb="0" eb="2">
      <t>ヘイセイ</t>
    </rPh>
    <rPh sb="4" eb="5">
      <t>ネン</t>
    </rPh>
    <rPh sb="5" eb="7">
      <t>フソク</t>
    </rPh>
    <rPh sb="7" eb="8">
      <t>ダイ</t>
    </rPh>
    <rPh sb="10" eb="11">
      <t>ジョウ</t>
    </rPh>
    <rPh sb="11" eb="12">
      <t>ダイ</t>
    </rPh>
    <rPh sb="13" eb="14">
      <t>コウ</t>
    </rPh>
    <phoneticPr fontId="4"/>
  </si>
  <si>
    <t>平成18年附則第13条第17項</t>
    <rPh sb="0" eb="2">
      <t>ヘイセイ</t>
    </rPh>
    <rPh sb="4" eb="5">
      <t>ネン</t>
    </rPh>
    <rPh sb="5" eb="7">
      <t>フソク</t>
    </rPh>
    <rPh sb="7" eb="8">
      <t>ダイ</t>
    </rPh>
    <rPh sb="10" eb="11">
      <t>ジョウ</t>
    </rPh>
    <rPh sb="11" eb="12">
      <t>ダイ</t>
    </rPh>
    <rPh sb="14" eb="15">
      <t>コウ</t>
    </rPh>
    <phoneticPr fontId="4"/>
  </si>
  <si>
    <t>平成19年附則第8条第１項</t>
    <rPh sb="0" eb="2">
      <t>ヘイセイ</t>
    </rPh>
    <rPh sb="4" eb="5">
      <t>ネン</t>
    </rPh>
    <rPh sb="5" eb="7">
      <t>フソク</t>
    </rPh>
    <rPh sb="7" eb="8">
      <t>ダイ</t>
    </rPh>
    <rPh sb="9" eb="10">
      <t>ジョウ</t>
    </rPh>
    <rPh sb="10" eb="11">
      <t>ダイ</t>
    </rPh>
    <rPh sb="12" eb="13">
      <t>コウ</t>
    </rPh>
    <phoneticPr fontId="4"/>
  </si>
  <si>
    <t>特定信用協同組合等</t>
    <rPh sb="0" eb="2">
      <t>トクテイ</t>
    </rPh>
    <rPh sb="2" eb="4">
      <t>シンヨウ</t>
    </rPh>
    <rPh sb="4" eb="6">
      <t>キョウドウ</t>
    </rPh>
    <rPh sb="6" eb="8">
      <t>クミアイ</t>
    </rPh>
    <rPh sb="8" eb="9">
      <t>トウ</t>
    </rPh>
    <phoneticPr fontId="4"/>
  </si>
  <si>
    <t>平成19年附則第8条第２項</t>
    <rPh sb="0" eb="2">
      <t>ヘイセイ</t>
    </rPh>
    <rPh sb="4" eb="5">
      <t>ネン</t>
    </rPh>
    <rPh sb="5" eb="7">
      <t>フソク</t>
    </rPh>
    <rPh sb="7" eb="8">
      <t>ダイ</t>
    </rPh>
    <rPh sb="9" eb="10">
      <t>ジョウ</t>
    </rPh>
    <rPh sb="10" eb="11">
      <t>ダイ</t>
    </rPh>
    <rPh sb="12" eb="13">
      <t>コウ</t>
    </rPh>
    <phoneticPr fontId="4"/>
  </si>
  <si>
    <t>特定信用協同組合等以外の信用協同組合等</t>
    <rPh sb="0" eb="2">
      <t>トクテイ</t>
    </rPh>
    <rPh sb="2" eb="4">
      <t>シンヨウ</t>
    </rPh>
    <rPh sb="4" eb="6">
      <t>キョウドウ</t>
    </rPh>
    <rPh sb="6" eb="8">
      <t>クミアイ</t>
    </rPh>
    <rPh sb="8" eb="9">
      <t>トウ</t>
    </rPh>
    <rPh sb="9" eb="11">
      <t>イガイ</t>
    </rPh>
    <rPh sb="12" eb="14">
      <t>シンヨウ</t>
    </rPh>
    <rPh sb="14" eb="16">
      <t>キョウドウ</t>
    </rPh>
    <rPh sb="16" eb="18">
      <t>クミアイ</t>
    </rPh>
    <rPh sb="18" eb="19">
      <t>トウ</t>
    </rPh>
    <phoneticPr fontId="4"/>
  </si>
  <si>
    <t>法附則第64条</t>
    <rPh sb="0" eb="1">
      <t>ホウ</t>
    </rPh>
    <rPh sb="1" eb="3">
      <t>フソク</t>
    </rPh>
    <rPh sb="3" eb="4">
      <t>ダイ</t>
    </rPh>
    <rPh sb="6" eb="7">
      <t>ジョウ</t>
    </rPh>
    <phoneticPr fontId="4"/>
  </si>
  <si>
    <t>新型コロナ先端設備</t>
    <rPh sb="0" eb="2">
      <t>シンガタ</t>
    </rPh>
    <rPh sb="5" eb="7">
      <t>センタン</t>
    </rPh>
    <rPh sb="7" eb="9">
      <t>セツビ</t>
    </rPh>
    <phoneticPr fontId="4"/>
  </si>
  <si>
    <t>「概要調書」による。</t>
    <rPh sb="1" eb="3">
      <t>ガイヨウ</t>
    </rPh>
    <rPh sb="3" eb="5">
      <t>チョウショ</t>
    </rPh>
    <phoneticPr fontId="4"/>
  </si>
  <si>
    <t>７　課税標準の特例累年比較(当初)</t>
    <rPh sb="2" eb="4">
      <t>カゼイ</t>
    </rPh>
    <rPh sb="4" eb="6">
      <t>ヒョウジュン</t>
    </rPh>
    <rPh sb="7" eb="9">
      <t>トクレイ</t>
    </rPh>
    <rPh sb="9" eb="11">
      <t>ルイネン</t>
    </rPh>
    <rPh sb="11" eb="13">
      <t>ヒカク</t>
    </rPh>
    <rPh sb="14" eb="16">
      <t>トウショ</t>
    </rPh>
    <phoneticPr fontId="4"/>
  </si>
  <si>
    <t>(3)償却資産</t>
    <rPh sb="3" eb="5">
      <t>ショウキャク</t>
    </rPh>
    <rPh sb="5" eb="7">
      <t>シサン</t>
    </rPh>
    <phoneticPr fontId="4"/>
  </si>
  <si>
    <t>該当条文等(特例率)</t>
    <rPh sb="0" eb="2">
      <t>ガイトウ</t>
    </rPh>
    <rPh sb="2" eb="4">
      <t>ジョウブン</t>
    </rPh>
    <rPh sb="4" eb="5">
      <t>トウ</t>
    </rPh>
    <rPh sb="6" eb="8">
      <t>トクレイ</t>
    </rPh>
    <rPh sb="8" eb="9">
      <t>リツ</t>
    </rPh>
    <phoneticPr fontId="4"/>
  </si>
  <si>
    <t>令和元年度</t>
    <rPh sb="0" eb="1">
      <t>レイ</t>
    </rPh>
    <rPh sb="1" eb="2">
      <t>ワ</t>
    </rPh>
    <rPh sb="2" eb="3">
      <t>ガン</t>
    </rPh>
    <phoneticPr fontId="4"/>
  </si>
  <si>
    <t>令和2年度</t>
    <rPh sb="0" eb="1">
      <t>レイ</t>
    </rPh>
    <rPh sb="1" eb="2">
      <t>ワ</t>
    </rPh>
    <phoneticPr fontId="4"/>
  </si>
  <si>
    <t>令和3年度</t>
    <rPh sb="0" eb="1">
      <t>レイ</t>
    </rPh>
    <rPh sb="1" eb="2">
      <t>ワ</t>
    </rPh>
    <phoneticPr fontId="4"/>
  </si>
  <si>
    <t>令和4年度</t>
    <rPh sb="0" eb="1">
      <t>レイ</t>
    </rPh>
    <rPh sb="1" eb="2">
      <t>ワ</t>
    </rPh>
    <phoneticPr fontId="4"/>
  </si>
  <si>
    <t>令和5年度</t>
    <rPh sb="0" eb="1">
      <t>レイ</t>
    </rPh>
    <rPh sb="1" eb="2">
      <t>ワ</t>
    </rPh>
    <phoneticPr fontId="4"/>
  </si>
  <si>
    <t>法349条の3</t>
    <rPh sb="0" eb="1">
      <t>ホウ</t>
    </rPh>
    <rPh sb="4" eb="5">
      <t>ジョウ</t>
    </rPh>
    <phoneticPr fontId="4"/>
  </si>
  <si>
    <t xml:space="preserve"> </t>
  </si>
  <si>
    <t>旧第1項</t>
    <rPh sb="0" eb="1">
      <t>キュウ</t>
    </rPh>
    <rPh sb="1" eb="2">
      <t>ダイ</t>
    </rPh>
    <rPh sb="3" eb="4">
      <t>コウ</t>
    </rPh>
    <phoneticPr fontId="4"/>
  </si>
  <si>
    <t>変・送電設備（1/3）</t>
    <rPh sb="0" eb="1">
      <t>ヘン</t>
    </rPh>
    <rPh sb="2" eb="4">
      <t>ソウデン</t>
    </rPh>
    <rPh sb="4" eb="6">
      <t>セツビ</t>
    </rPh>
    <phoneticPr fontId="4"/>
  </si>
  <si>
    <t>変・送電設備（2/3）</t>
    <rPh sb="0" eb="1">
      <t>ヘン</t>
    </rPh>
    <rPh sb="2" eb="4">
      <t>ソウデン</t>
    </rPh>
    <rPh sb="4" eb="6">
      <t>セツビ</t>
    </rPh>
    <phoneticPr fontId="4"/>
  </si>
  <si>
    <t>物品製造業（1/2）</t>
    <rPh sb="0" eb="2">
      <t>ブッピン</t>
    </rPh>
    <rPh sb="2" eb="5">
      <t>セイゾウギョウ</t>
    </rPh>
    <phoneticPr fontId="4"/>
  </si>
  <si>
    <t>物品製造業（3/4）</t>
    <rPh sb="0" eb="2">
      <t>ブッピン</t>
    </rPh>
    <rPh sb="2" eb="5">
      <t>セイゾウギョウ</t>
    </rPh>
    <phoneticPr fontId="4"/>
  </si>
  <si>
    <t>ガス事業設備（1/3）</t>
    <rPh sb="2" eb="4">
      <t>ジギョウ</t>
    </rPh>
    <rPh sb="4" eb="6">
      <t>セツビ</t>
    </rPh>
    <phoneticPr fontId="4"/>
  </si>
  <si>
    <t>法第349条の3第2項</t>
    <rPh sb="0" eb="1">
      <t>ホウ</t>
    </rPh>
    <rPh sb="1" eb="2">
      <t>ダイ</t>
    </rPh>
    <rPh sb="5" eb="6">
      <t>ジョウ</t>
    </rPh>
    <rPh sb="8" eb="9">
      <t>ダイ</t>
    </rPh>
    <rPh sb="10" eb="11">
      <t>コウ</t>
    </rPh>
    <phoneticPr fontId="4"/>
  </si>
  <si>
    <t>ガス事業設備（2/3）</t>
    <rPh sb="2" eb="4">
      <t>ジギョウ</t>
    </rPh>
    <rPh sb="4" eb="6">
      <t>セツビ</t>
    </rPh>
    <phoneticPr fontId="4"/>
  </si>
  <si>
    <t>法第349条の3第9項</t>
    <rPh sb="0" eb="1">
      <t>ホウ</t>
    </rPh>
    <rPh sb="1" eb="2">
      <t>ダイ</t>
    </rPh>
    <rPh sb="5" eb="6">
      <t>ジョウ</t>
    </rPh>
    <rPh sb="8" eb="9">
      <t>ダイ</t>
    </rPh>
    <rPh sb="10" eb="11">
      <t>コウ</t>
    </rPh>
    <phoneticPr fontId="4"/>
  </si>
  <si>
    <t>日本放送協会設備</t>
    <rPh sb="0" eb="2">
      <t>ニホン</t>
    </rPh>
    <rPh sb="2" eb="4">
      <t>ホウソウ</t>
    </rPh>
    <rPh sb="4" eb="6">
      <t>キョウカイ</t>
    </rPh>
    <rPh sb="6" eb="8">
      <t>セツビ</t>
    </rPh>
    <phoneticPr fontId="4"/>
  </si>
  <si>
    <t>法第349条の3第15項</t>
    <rPh sb="0" eb="1">
      <t>ホウ</t>
    </rPh>
    <rPh sb="1" eb="2">
      <t>ダイ</t>
    </rPh>
    <rPh sb="5" eb="6">
      <t>ジョウ</t>
    </rPh>
    <rPh sb="8" eb="9">
      <t>ダイ</t>
    </rPh>
    <rPh sb="11" eb="12">
      <t>コウ</t>
    </rPh>
    <phoneticPr fontId="4"/>
  </si>
  <si>
    <t>宇宙航空研究開発機構</t>
    <rPh sb="0" eb="2">
      <t>ウチュウ</t>
    </rPh>
    <rPh sb="2" eb="4">
      <t>コウクウ</t>
    </rPh>
    <rPh sb="4" eb="6">
      <t>ケンキュウ</t>
    </rPh>
    <rPh sb="6" eb="8">
      <t>カイハツ</t>
    </rPh>
    <rPh sb="8" eb="10">
      <t>キコウ</t>
    </rPh>
    <phoneticPr fontId="4"/>
  </si>
  <si>
    <t>法第349条の3第19項</t>
    <rPh sb="1" eb="2">
      <t>ダイ</t>
    </rPh>
    <phoneticPr fontId="4"/>
  </si>
  <si>
    <t>新エネルギー設備(1/3)</t>
    <rPh sb="0" eb="1">
      <t>シン</t>
    </rPh>
    <rPh sb="6" eb="8">
      <t>セツビ</t>
    </rPh>
    <phoneticPr fontId="4"/>
  </si>
  <si>
    <t>　　　・産業技術総合開発機構</t>
    <rPh sb="4" eb="6">
      <t>サンギョウ</t>
    </rPh>
    <rPh sb="6" eb="8">
      <t>ギジュツ</t>
    </rPh>
    <rPh sb="8" eb="10">
      <t>ソウゴウ</t>
    </rPh>
    <rPh sb="10" eb="12">
      <t>カイハツ</t>
    </rPh>
    <rPh sb="12" eb="14">
      <t>キコウ</t>
    </rPh>
    <phoneticPr fontId="4"/>
  </si>
  <si>
    <t>新エネルギー設備(2/3)</t>
    <rPh sb="0" eb="1">
      <t>シン</t>
    </rPh>
    <rPh sb="6" eb="8">
      <t>セツビ</t>
    </rPh>
    <phoneticPr fontId="4"/>
  </si>
  <si>
    <t>-</t>
    <phoneticPr fontId="12"/>
  </si>
  <si>
    <t>法第349条の3第20項</t>
    <rPh sb="1" eb="2">
      <t>ダイ</t>
    </rPh>
    <phoneticPr fontId="4"/>
  </si>
  <si>
    <t>科学技術振興機構</t>
    <rPh sb="0" eb="2">
      <t>カガク</t>
    </rPh>
    <rPh sb="2" eb="4">
      <t>ギジュツ</t>
    </rPh>
    <rPh sb="4" eb="6">
      <t>シンコウ</t>
    </rPh>
    <rPh sb="6" eb="8">
      <t>キコウ</t>
    </rPh>
    <phoneticPr fontId="4"/>
  </si>
  <si>
    <t>法第349条の3第23項</t>
    <rPh sb="1" eb="2">
      <t>ダイ</t>
    </rPh>
    <phoneticPr fontId="4"/>
  </si>
  <si>
    <t>信用協同組合等</t>
    <rPh sb="0" eb="2">
      <t>シンヨウ</t>
    </rPh>
    <rPh sb="2" eb="4">
      <t>キョウドウ</t>
    </rPh>
    <rPh sb="4" eb="7">
      <t>クミアイトウ</t>
    </rPh>
    <phoneticPr fontId="4"/>
  </si>
  <si>
    <t>法第349条の3第27項</t>
    <rPh sb="1" eb="2">
      <t>ダイ</t>
    </rPh>
    <phoneticPr fontId="4"/>
  </si>
  <si>
    <t>家庭的保育事業</t>
    <rPh sb="0" eb="3">
      <t>カテイテキ</t>
    </rPh>
    <rPh sb="3" eb="5">
      <t>ホイク</t>
    </rPh>
    <rPh sb="5" eb="7">
      <t>ジギョウ</t>
    </rPh>
    <phoneticPr fontId="4"/>
  </si>
  <si>
    <t>軽自動車検査協会(1/3)</t>
    <rPh sb="0" eb="4">
      <t>ケイジドウシャ</t>
    </rPh>
    <rPh sb="4" eb="6">
      <t>ケンサ</t>
    </rPh>
    <rPh sb="6" eb="8">
      <t>キョウカイ</t>
    </rPh>
    <phoneticPr fontId="4"/>
  </si>
  <si>
    <t>法第349条の3
旧第28項</t>
    <rPh sb="1" eb="2">
      <t>ダイ</t>
    </rPh>
    <rPh sb="9" eb="10">
      <t>キュウ</t>
    </rPh>
    <phoneticPr fontId="4"/>
  </si>
  <si>
    <t>軽自動車検査協会(1/6)</t>
    <rPh sb="0" eb="4">
      <t>ケイジドウシャ</t>
    </rPh>
    <rPh sb="4" eb="6">
      <t>ケンサ</t>
    </rPh>
    <rPh sb="6" eb="8">
      <t>キョウカイ</t>
    </rPh>
    <phoneticPr fontId="4"/>
  </si>
  <si>
    <t>軽自動車検査協会(1/2)</t>
    <rPh sb="0" eb="4">
      <t>ケイジドウシャ</t>
    </rPh>
    <rPh sb="4" eb="6">
      <t>ケンサ</t>
    </rPh>
    <rPh sb="6" eb="8">
      <t>キョウカイ</t>
    </rPh>
    <phoneticPr fontId="4"/>
  </si>
  <si>
    <t>法附則第15条</t>
    <rPh sb="0" eb="1">
      <t>ホウ</t>
    </rPh>
    <rPh sb="1" eb="3">
      <t>フソク</t>
    </rPh>
    <rPh sb="3" eb="4">
      <t>ダイ</t>
    </rPh>
    <rPh sb="6" eb="7">
      <t>ジョウ</t>
    </rPh>
    <phoneticPr fontId="4"/>
  </si>
  <si>
    <t>第2項</t>
    <rPh sb="0" eb="1">
      <t>ダイ</t>
    </rPh>
    <phoneticPr fontId="4"/>
  </si>
  <si>
    <t>公共の危害防止施設等（1/6）</t>
    <rPh sb="0" eb="2">
      <t>コウキョウ</t>
    </rPh>
    <rPh sb="3" eb="5">
      <t>キガイ</t>
    </rPh>
    <rPh sb="5" eb="7">
      <t>ボウシ</t>
    </rPh>
    <rPh sb="7" eb="10">
      <t>シセツトウ</t>
    </rPh>
    <phoneticPr fontId="4"/>
  </si>
  <si>
    <t>　　　　　　 〃　　　　　　　（1/3)</t>
    <phoneticPr fontId="4"/>
  </si>
  <si>
    <t>1号（地域決定型地方税制特例措置（わがまち特例）適用分）</t>
    <rPh sb="1" eb="2">
      <t>ゴウ</t>
    </rPh>
    <rPh sb="3" eb="5">
      <t>チイキ</t>
    </rPh>
    <rPh sb="5" eb="7">
      <t>ケッテイ</t>
    </rPh>
    <rPh sb="7" eb="8">
      <t>カタ</t>
    </rPh>
    <rPh sb="8" eb="10">
      <t>チホウ</t>
    </rPh>
    <rPh sb="10" eb="12">
      <t>ゼイセイ</t>
    </rPh>
    <rPh sb="12" eb="14">
      <t>トクレイ</t>
    </rPh>
    <rPh sb="14" eb="16">
      <t>ソチ</t>
    </rPh>
    <rPh sb="21" eb="23">
      <t>トクレイ</t>
    </rPh>
    <rPh sb="24" eb="26">
      <t>テキヨウ</t>
    </rPh>
    <rPh sb="26" eb="27">
      <t>ブン</t>
    </rPh>
    <phoneticPr fontId="4"/>
  </si>
  <si>
    <t>　　　　　第53項</t>
    <rPh sb="5" eb="6">
      <t>ダイ</t>
    </rPh>
    <phoneticPr fontId="4"/>
  </si>
  <si>
    <t>軽自動車検査協</t>
    <rPh sb="0" eb="4">
      <t>ケイジドウシャ</t>
    </rPh>
    <rPh sb="4" eb="6">
      <t>ケンサ</t>
    </rPh>
    <rPh sb="6" eb="7">
      <t>キョウ</t>
    </rPh>
    <phoneticPr fontId="4"/>
  </si>
  <si>
    <t>第25項</t>
    <rPh sb="0" eb="1">
      <t>ダイ</t>
    </rPh>
    <rPh sb="3" eb="4">
      <t>コウ</t>
    </rPh>
    <phoneticPr fontId="12"/>
  </si>
  <si>
    <t>太陽光1,000kw未満（2/3）</t>
    <rPh sb="0" eb="3">
      <t>タイヨウコウ</t>
    </rPh>
    <rPh sb="10" eb="12">
      <t>ミマン</t>
    </rPh>
    <phoneticPr fontId="12"/>
  </si>
  <si>
    <t>第33項</t>
    <rPh sb="0" eb="1">
      <t>ダイ</t>
    </rPh>
    <phoneticPr fontId="4"/>
  </si>
  <si>
    <t>　　　　　第41項</t>
    <rPh sb="5" eb="6">
      <t>ダイ</t>
    </rPh>
    <phoneticPr fontId="4"/>
  </si>
  <si>
    <t>先端設備等</t>
    <rPh sb="0" eb="2">
      <t>センタン</t>
    </rPh>
    <rPh sb="2" eb="4">
      <t>セツビ</t>
    </rPh>
    <rPh sb="4" eb="5">
      <t>トウ</t>
    </rPh>
    <phoneticPr fontId="4"/>
  </si>
  <si>
    <t>　　　　旧10項</t>
    <rPh sb="4" eb="5">
      <t>キュウ</t>
    </rPh>
    <phoneticPr fontId="4"/>
  </si>
  <si>
    <t>特定駐車場</t>
    <rPh sb="0" eb="2">
      <t>トクテイ</t>
    </rPh>
    <rPh sb="2" eb="5">
      <t>チュウシャジョウ</t>
    </rPh>
    <phoneticPr fontId="4"/>
  </si>
  <si>
    <t>　　　　 旧第3項</t>
    <rPh sb="5" eb="6">
      <t>キュウ</t>
    </rPh>
    <rPh sb="6" eb="7">
      <t>ダイ</t>
    </rPh>
    <phoneticPr fontId="4"/>
  </si>
  <si>
    <t>公害防止設備</t>
    <rPh sb="0" eb="2">
      <t>コウガイ</t>
    </rPh>
    <rPh sb="2" eb="4">
      <t>ボウシ</t>
    </rPh>
    <rPh sb="4" eb="6">
      <t>セツビ</t>
    </rPh>
    <phoneticPr fontId="4"/>
  </si>
  <si>
    <t>　　　　旧第  5項</t>
    <rPh sb="4" eb="5">
      <t>キュウ</t>
    </rPh>
    <rPh sb="5" eb="6">
      <t>ダイ</t>
    </rPh>
    <rPh sb="9" eb="10">
      <t>コウ</t>
    </rPh>
    <phoneticPr fontId="4"/>
  </si>
  <si>
    <t>公共危害防止構築物(1/3)</t>
    <rPh sb="0" eb="2">
      <t>コウキョウ</t>
    </rPh>
    <rPh sb="2" eb="4">
      <t>キガイ</t>
    </rPh>
    <rPh sb="4" eb="6">
      <t>ボウシ</t>
    </rPh>
    <rPh sb="6" eb="9">
      <t>コウチクブツ</t>
    </rPh>
    <phoneticPr fontId="4"/>
  </si>
  <si>
    <t>　　　   旧第8項</t>
    <rPh sb="6" eb="7">
      <t>キュウ</t>
    </rPh>
    <rPh sb="7" eb="8">
      <t>ダイ</t>
    </rPh>
    <phoneticPr fontId="4"/>
  </si>
  <si>
    <t>高度テレビジョン放送施設(3/4)</t>
    <rPh sb="0" eb="2">
      <t>コウド</t>
    </rPh>
    <rPh sb="8" eb="10">
      <t>ホウソウ</t>
    </rPh>
    <rPh sb="10" eb="12">
      <t>シセツ</t>
    </rPh>
    <phoneticPr fontId="4"/>
  </si>
  <si>
    <t>　　　　　　 〃　　　　　　　  （4/5)</t>
  </si>
  <si>
    <t>　　　　旧第13項</t>
    <rPh sb="4" eb="5">
      <t>キュウ</t>
    </rPh>
    <rPh sb="5" eb="6">
      <t>ダイ</t>
    </rPh>
    <phoneticPr fontId="4"/>
  </si>
  <si>
    <t>救急医療用機器</t>
    <rPh sb="0" eb="2">
      <t>キュウキュウ</t>
    </rPh>
    <rPh sb="2" eb="4">
      <t>イリョウ</t>
    </rPh>
    <rPh sb="4" eb="5">
      <t>ヨウ</t>
    </rPh>
    <rPh sb="5" eb="7">
      <t>キキ</t>
    </rPh>
    <phoneticPr fontId="4"/>
  </si>
  <si>
    <t>　　　　旧第15項</t>
    <rPh sb="4" eb="5">
      <t>キュウ</t>
    </rPh>
    <rPh sb="5" eb="6">
      <t>ダイ</t>
    </rPh>
    <phoneticPr fontId="4"/>
  </si>
  <si>
    <t>老人保健施設(5/6)</t>
    <rPh sb="0" eb="2">
      <t>ロウジン</t>
    </rPh>
    <rPh sb="2" eb="4">
      <t>ホケン</t>
    </rPh>
    <rPh sb="4" eb="6">
      <t>シセツ</t>
    </rPh>
    <phoneticPr fontId="4"/>
  </si>
  <si>
    <t>　　　　　　〃</t>
    <phoneticPr fontId="4"/>
  </si>
  <si>
    <t>老人保健施設(7/8)</t>
    <rPh sb="0" eb="2">
      <t>ロウジン</t>
    </rPh>
    <rPh sb="2" eb="4">
      <t>ホケン</t>
    </rPh>
    <rPh sb="4" eb="6">
      <t>シセツ</t>
    </rPh>
    <phoneticPr fontId="4"/>
  </si>
  <si>
    <t>広帯域加入者網構築設備（2/3）</t>
    <rPh sb="0" eb="3">
      <t>コウタイイキ</t>
    </rPh>
    <rPh sb="3" eb="6">
      <t>カニュウシャ</t>
    </rPh>
    <rPh sb="6" eb="7">
      <t>モウ</t>
    </rPh>
    <rPh sb="7" eb="9">
      <t>コウチク</t>
    </rPh>
    <rPh sb="9" eb="11">
      <t>セツビ</t>
    </rPh>
    <phoneticPr fontId="4"/>
  </si>
  <si>
    <t>　　　　　　〃</t>
  </si>
  <si>
    <t>　　　　　　〃　　　　　　　　　（4/5)</t>
  </si>
  <si>
    <t>　　　　　　〃　　　　　　　　　（3/4)</t>
  </si>
  <si>
    <t>　　　　旧第20項</t>
    <rPh sb="4" eb="5">
      <t>キュウ</t>
    </rPh>
    <rPh sb="5" eb="6">
      <t>ダイ</t>
    </rPh>
    <phoneticPr fontId="4"/>
  </si>
  <si>
    <t>電気通信信頼性向上設備（3/4)</t>
    <rPh sb="0" eb="2">
      <t>デンキ</t>
    </rPh>
    <rPh sb="2" eb="4">
      <t>ツウシン</t>
    </rPh>
    <rPh sb="4" eb="7">
      <t>シンライセイ</t>
    </rPh>
    <rPh sb="7" eb="9">
      <t>コウジョウ</t>
    </rPh>
    <rPh sb="9" eb="11">
      <t>セツビ</t>
    </rPh>
    <phoneticPr fontId="4"/>
  </si>
  <si>
    <t>　　　　　　〃　　　　　　　　　（4/5)</t>
    <phoneticPr fontId="4"/>
  </si>
  <si>
    <t>　　　　　　〃　　　　　　　　　（5/6)</t>
    <phoneticPr fontId="4"/>
  </si>
  <si>
    <t>　　　　旧第24項</t>
    <rPh sb="4" eb="5">
      <t>キュウ</t>
    </rPh>
    <rPh sb="5" eb="6">
      <t>ダイ</t>
    </rPh>
    <phoneticPr fontId="4"/>
  </si>
  <si>
    <t>日本郵政公社の民営化に係る継承特例</t>
    <rPh sb="0" eb="2">
      <t>ニホン</t>
    </rPh>
    <rPh sb="2" eb="4">
      <t>ユウセイ</t>
    </rPh>
    <rPh sb="4" eb="6">
      <t>コウシャ</t>
    </rPh>
    <rPh sb="7" eb="10">
      <t>ミンエイカ</t>
    </rPh>
    <rPh sb="11" eb="12">
      <t>カカ</t>
    </rPh>
    <rPh sb="13" eb="15">
      <t>ケイショウ</t>
    </rPh>
    <rPh sb="15" eb="17">
      <t>トクレイ</t>
    </rPh>
    <phoneticPr fontId="4"/>
  </si>
  <si>
    <t>　　　　旧第26項</t>
    <rPh sb="4" eb="5">
      <t>キュウ</t>
    </rPh>
    <rPh sb="5" eb="6">
      <t>ダイ</t>
    </rPh>
    <phoneticPr fontId="4"/>
  </si>
  <si>
    <t>電線類の地中化設備(9/10)</t>
    <rPh sb="0" eb="2">
      <t>デンセン</t>
    </rPh>
    <rPh sb="2" eb="3">
      <t>ルイ</t>
    </rPh>
    <rPh sb="4" eb="7">
      <t>チチュウカ</t>
    </rPh>
    <rPh sb="7" eb="9">
      <t>セツビ</t>
    </rPh>
    <phoneticPr fontId="4"/>
  </si>
  <si>
    <t>　　　　旧第27項</t>
    <rPh sb="4" eb="5">
      <t>キュウ</t>
    </rPh>
    <rPh sb="5" eb="6">
      <t>ダイ</t>
    </rPh>
    <rPh sb="8" eb="9">
      <t>コウ</t>
    </rPh>
    <phoneticPr fontId="4"/>
  </si>
  <si>
    <t>特定特殊自動車（1/2)</t>
    <rPh sb="0" eb="2">
      <t>トクテイ</t>
    </rPh>
    <rPh sb="2" eb="4">
      <t>トクシュ</t>
    </rPh>
    <rPh sb="4" eb="7">
      <t>ジドウシャ</t>
    </rPh>
    <phoneticPr fontId="4"/>
  </si>
  <si>
    <t>　　　　旧28項(2)</t>
    <rPh sb="4" eb="5">
      <t>キュウ</t>
    </rPh>
    <phoneticPr fontId="4"/>
  </si>
  <si>
    <t>電気通信高度化設備(3/4)</t>
    <rPh sb="0" eb="2">
      <t>デンキ</t>
    </rPh>
    <rPh sb="2" eb="4">
      <t>ツウシン</t>
    </rPh>
    <rPh sb="4" eb="6">
      <t>コウド</t>
    </rPh>
    <rPh sb="6" eb="7">
      <t>カ</t>
    </rPh>
    <rPh sb="7" eb="9">
      <t>セツビ</t>
    </rPh>
    <phoneticPr fontId="4"/>
  </si>
  <si>
    <t>電気通信高度化設備(5/6)</t>
    <rPh sb="0" eb="2">
      <t>デンキ</t>
    </rPh>
    <rPh sb="2" eb="4">
      <t>ツウシン</t>
    </rPh>
    <rPh sb="4" eb="6">
      <t>コウド</t>
    </rPh>
    <rPh sb="6" eb="7">
      <t>カ</t>
    </rPh>
    <rPh sb="7" eb="9">
      <t>セツビ</t>
    </rPh>
    <phoneticPr fontId="4"/>
  </si>
  <si>
    <t>電気通信高度化設備(9/10)</t>
    <rPh sb="0" eb="2">
      <t>デンキ</t>
    </rPh>
    <rPh sb="2" eb="4">
      <t>ツウシン</t>
    </rPh>
    <rPh sb="4" eb="6">
      <t>コウド</t>
    </rPh>
    <rPh sb="6" eb="7">
      <t>カ</t>
    </rPh>
    <rPh sb="7" eb="9">
      <t>セツビ</t>
    </rPh>
    <phoneticPr fontId="4"/>
  </si>
  <si>
    <t>　　　　旧第33項</t>
    <rPh sb="4" eb="5">
      <t>キュウ</t>
    </rPh>
    <phoneticPr fontId="4"/>
  </si>
  <si>
    <t>再生可能エネルギー発電設備</t>
    <rPh sb="0" eb="2">
      <t>サイセイ</t>
    </rPh>
    <rPh sb="2" eb="4">
      <t>カノウ</t>
    </rPh>
    <rPh sb="9" eb="11">
      <t>ハツデン</t>
    </rPh>
    <rPh sb="11" eb="13">
      <t>セツビ</t>
    </rPh>
    <phoneticPr fontId="4"/>
  </si>
  <si>
    <t>　　　　旧第37項</t>
    <rPh sb="4" eb="5">
      <t>キュウ</t>
    </rPh>
    <rPh sb="5" eb="6">
      <t>ダイ</t>
    </rPh>
    <phoneticPr fontId="4"/>
  </si>
  <si>
    <t>次世代通信網構築設備（4/5)</t>
    <rPh sb="0" eb="3">
      <t>ジセダイ</t>
    </rPh>
    <rPh sb="3" eb="6">
      <t>ツウシンモウ</t>
    </rPh>
    <rPh sb="6" eb="8">
      <t>コウチク</t>
    </rPh>
    <rPh sb="8" eb="10">
      <t>セツビ</t>
    </rPh>
    <phoneticPr fontId="4"/>
  </si>
  <si>
    <t>　　　　旧第41項</t>
    <rPh sb="4" eb="5">
      <t>キュウ</t>
    </rPh>
    <phoneticPr fontId="4"/>
  </si>
  <si>
    <t>　　　　旧第43項</t>
    <rPh sb="4" eb="5">
      <t>キュウ</t>
    </rPh>
    <rPh sb="5" eb="6">
      <t>ダイ</t>
    </rPh>
    <phoneticPr fontId="4"/>
  </si>
  <si>
    <t>経営力向上設備等</t>
    <rPh sb="0" eb="3">
      <t>ケイエイリョク</t>
    </rPh>
    <rPh sb="3" eb="5">
      <t>コウジョウ</t>
    </rPh>
    <rPh sb="5" eb="7">
      <t>セツビ</t>
    </rPh>
    <rPh sb="7" eb="8">
      <t>トウ</t>
    </rPh>
    <phoneticPr fontId="4"/>
  </si>
  <si>
    <t>旧法附則第64条</t>
    <rPh sb="0" eb="1">
      <t>キュウ</t>
    </rPh>
    <rPh sb="2" eb="4">
      <t>フソク</t>
    </rPh>
    <rPh sb="4" eb="5">
      <t>ダイ</t>
    </rPh>
    <rPh sb="7" eb="8">
      <t>ジョウ</t>
    </rPh>
    <phoneticPr fontId="12"/>
  </si>
  <si>
    <t>新型コロナ先端設備～R3.3.31</t>
    <rPh sb="0" eb="2">
      <t>シンガタ</t>
    </rPh>
    <rPh sb="5" eb="9">
      <t>センタンセツビ</t>
    </rPh>
    <phoneticPr fontId="12"/>
  </si>
  <si>
    <t>　　　　　　〃　　　　　R3.4.1～R5.3.31</t>
    <phoneticPr fontId="12"/>
  </si>
  <si>
    <t>「概要調書・第73～78表」による</t>
    <rPh sb="1" eb="3">
      <t>ガイヨウ</t>
    </rPh>
    <rPh sb="3" eb="5">
      <t>チョウショ</t>
    </rPh>
    <rPh sb="6" eb="7">
      <t>ダイ</t>
    </rPh>
    <rPh sb="12" eb="13">
      <t>ヒョウ</t>
    </rPh>
    <phoneticPr fontId="4"/>
  </si>
  <si>
    <t>８　国有資産等所在市交付金累年比較</t>
    <rPh sb="2" eb="4">
      <t>コクユウ</t>
    </rPh>
    <rPh sb="4" eb="6">
      <t>シサン</t>
    </rPh>
    <rPh sb="6" eb="7">
      <t>トウ</t>
    </rPh>
    <rPh sb="7" eb="9">
      <t>ショザイ</t>
    </rPh>
    <rPh sb="9" eb="10">
      <t>シ</t>
    </rPh>
    <rPh sb="10" eb="13">
      <t>コウフキン</t>
    </rPh>
    <rPh sb="13" eb="15">
      <t>ルイネン</t>
    </rPh>
    <rPh sb="15" eb="17">
      <t>ヒカク</t>
    </rPh>
    <phoneticPr fontId="4"/>
  </si>
  <si>
    <t>固定資産の価格</t>
    <rPh sb="0" eb="2">
      <t>コテイ</t>
    </rPh>
    <rPh sb="2" eb="4">
      <t>シサン</t>
    </rPh>
    <rPh sb="5" eb="7">
      <t>カカク</t>
    </rPh>
    <phoneticPr fontId="4"/>
  </si>
  <si>
    <t>算定標準額</t>
    <rPh sb="0" eb="2">
      <t>サンテイ</t>
    </rPh>
    <rPh sb="2" eb="4">
      <t>ヒョウジュン</t>
    </rPh>
    <rPh sb="4" eb="5">
      <t>ガク</t>
    </rPh>
    <phoneticPr fontId="4"/>
  </si>
  <si>
    <t>交付金額</t>
    <rPh sb="0" eb="2">
      <t>コウフ</t>
    </rPh>
    <rPh sb="2" eb="4">
      <t>キンガク</t>
    </rPh>
    <phoneticPr fontId="4"/>
  </si>
  <si>
    <t>価格</t>
    <rPh sb="0" eb="1">
      <t>アタイ</t>
    </rPh>
    <rPh sb="1" eb="2">
      <t>カク</t>
    </rPh>
    <phoneticPr fontId="4"/>
  </si>
  <si>
    <t>国有資産分</t>
    <rPh sb="0" eb="2">
      <t>コクユウ</t>
    </rPh>
    <rPh sb="2" eb="4">
      <t>シサン</t>
    </rPh>
    <rPh sb="4" eb="5">
      <t>ブン</t>
    </rPh>
    <phoneticPr fontId="4"/>
  </si>
  <si>
    <t>国有資産分</t>
  </si>
  <si>
    <t>平成24年度</t>
  </si>
  <si>
    <t>県有資産分</t>
  </si>
  <si>
    <t>９　都市計画税の概要（区域・面積等）累年比較（当初）</t>
    <rPh sb="2" eb="4">
      <t>トシ</t>
    </rPh>
    <rPh sb="4" eb="6">
      <t>ケイカク</t>
    </rPh>
    <rPh sb="6" eb="7">
      <t>ゼイ</t>
    </rPh>
    <rPh sb="8" eb="10">
      <t>ガイヨウ</t>
    </rPh>
    <rPh sb="11" eb="13">
      <t>クイキ</t>
    </rPh>
    <rPh sb="14" eb="16">
      <t>メンセキ</t>
    </rPh>
    <rPh sb="16" eb="17">
      <t>トウ</t>
    </rPh>
    <rPh sb="18" eb="20">
      <t>ルイネン</t>
    </rPh>
    <rPh sb="20" eb="22">
      <t>ヒカク</t>
    </rPh>
    <rPh sb="23" eb="25">
      <t>トウショ</t>
    </rPh>
    <phoneticPr fontId="4"/>
  </si>
  <si>
    <t>(1)区域の面積</t>
    <rPh sb="3" eb="5">
      <t>クイキ</t>
    </rPh>
    <rPh sb="6" eb="8">
      <t>メンセキ</t>
    </rPh>
    <phoneticPr fontId="4"/>
  </si>
  <si>
    <t>（単位:千平方メートル・％）</t>
    <rPh sb="1" eb="3">
      <t>タンイ</t>
    </rPh>
    <rPh sb="4" eb="5">
      <t>セン</t>
    </rPh>
    <rPh sb="5" eb="7">
      <t>ヘイホウ</t>
    </rPh>
    <phoneticPr fontId="4"/>
  </si>
  <si>
    <t>市街化区域</t>
    <rPh sb="0" eb="3">
      <t>シガイカ</t>
    </rPh>
    <rPh sb="3" eb="5">
      <t>クイキ</t>
    </rPh>
    <phoneticPr fontId="4"/>
  </si>
  <si>
    <t>市街化
調整区域</t>
    <rPh sb="0" eb="3">
      <t>シガイカ</t>
    </rPh>
    <rPh sb="4" eb="6">
      <t>チョウセイ</t>
    </rPh>
    <rPh sb="6" eb="8">
      <t>クイキ</t>
    </rPh>
    <phoneticPr fontId="4"/>
  </si>
  <si>
    <t>市街化</t>
    <rPh sb="0" eb="3">
      <t>シガイカ</t>
    </rPh>
    <phoneticPr fontId="4"/>
  </si>
  <si>
    <t>区域</t>
    <rPh sb="0" eb="2">
      <t>クイキ</t>
    </rPh>
    <phoneticPr fontId="4"/>
  </si>
  <si>
    <t>調整区域</t>
    <rPh sb="0" eb="2">
      <t>チョウセイ</t>
    </rPh>
    <rPh sb="2" eb="4">
      <t>クイキ</t>
    </rPh>
    <phoneticPr fontId="4"/>
  </si>
  <si>
    <t>「概要調書」による。</t>
    <phoneticPr fontId="4"/>
  </si>
  <si>
    <t>(2)課税区域の面積</t>
    <rPh sb="3" eb="5">
      <t>カゼイ</t>
    </rPh>
    <rPh sb="5" eb="7">
      <t>クイキ</t>
    </rPh>
    <rPh sb="8" eb="10">
      <t>メンセキ</t>
    </rPh>
    <phoneticPr fontId="4"/>
  </si>
  <si>
    <t>市街化調整区域</t>
    <rPh sb="0" eb="3">
      <t>シガイカ</t>
    </rPh>
    <rPh sb="3" eb="5">
      <t>チョウセイ</t>
    </rPh>
    <rPh sb="5" eb="7">
      <t>クイキ</t>
    </rPh>
    <phoneticPr fontId="4"/>
  </si>
  <si>
    <t>　</t>
    <phoneticPr fontId="4"/>
  </si>
  <si>
    <t>(3)課税標準額（免税点以上のもの）</t>
    <rPh sb="3" eb="5">
      <t>カゼイ</t>
    </rPh>
    <rPh sb="5" eb="7">
      <t>ヒョウジュン</t>
    </rPh>
    <rPh sb="7" eb="8">
      <t>ガク</t>
    </rPh>
    <rPh sb="9" eb="11">
      <t>メンゼイ</t>
    </rPh>
    <rPh sb="11" eb="12">
      <t>テン</t>
    </rPh>
    <rPh sb="12" eb="14">
      <t>イジョウ</t>
    </rPh>
    <phoneticPr fontId="4"/>
  </si>
  <si>
    <t>（単位:千円・％）</t>
    <rPh sb="1" eb="3">
      <t>タンイ</t>
    </rPh>
    <rPh sb="4" eb="5">
      <t>セン</t>
    </rPh>
    <rPh sb="5" eb="6">
      <t>エン</t>
    </rPh>
    <phoneticPr fontId="4"/>
  </si>
  <si>
    <t>土地</t>
    <rPh sb="0" eb="1">
      <t>ツチ</t>
    </rPh>
    <rPh sb="1" eb="2">
      <t>チ</t>
    </rPh>
    <phoneticPr fontId="4"/>
  </si>
  <si>
    <t>家屋</t>
    <rPh sb="0" eb="1">
      <t>イエ</t>
    </rPh>
    <rPh sb="1" eb="2">
      <t>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</si>
</sst>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.0_ "/>
    <numFmt numFmtId="178" formatCode="#,##0.0_ "/>
    <numFmt numFmtId="179" formatCode="#,##0_);[Red]\(#,##0\)"/>
    <numFmt numFmtId="180" formatCode="#,##0.0_);[Red]\(#,##0.0\)"/>
    <numFmt numFmtId="181" formatCode="0.0_);[Red]\(0.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8.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6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176" fontId="5" fillId="0" borderId="6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176" fontId="5" fillId="0" borderId="8" xfId="1" applyNumberFormat="1" applyFont="1" applyBorder="1" applyAlignment="1">
      <alignment vertical="center"/>
    </xf>
    <xf numFmtId="176" fontId="1" fillId="0" borderId="9" xfId="1" applyNumberFormat="1" applyBorder="1" applyAlignment="1">
      <alignment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0" fontId="5" fillId="0" borderId="13" xfId="1" applyFont="1" applyBorder="1" applyAlignment="1">
      <alignment horizontal="center" vertical="center"/>
    </xf>
    <xf numFmtId="176" fontId="5" fillId="0" borderId="13" xfId="1" applyNumberFormat="1" applyFont="1" applyBorder="1" applyAlignment="1">
      <alignment vertical="center"/>
    </xf>
    <xf numFmtId="176" fontId="5" fillId="0" borderId="14" xfId="1" applyNumberFormat="1" applyFont="1" applyBorder="1" applyAlignment="1">
      <alignment vertical="center"/>
    </xf>
    <xf numFmtId="176" fontId="1" fillId="0" borderId="15" xfId="1" applyNumberFormat="1" applyBorder="1" applyAlignment="1">
      <alignment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177" fontId="5" fillId="0" borderId="17" xfId="1" applyNumberFormat="1" applyFont="1" applyBorder="1" applyAlignment="1">
      <alignment vertical="center"/>
    </xf>
    <xf numFmtId="177" fontId="5" fillId="0" borderId="18" xfId="1" applyNumberFormat="1" applyFont="1" applyBorder="1" applyAlignment="1">
      <alignment vertical="center"/>
    </xf>
    <xf numFmtId="178" fontId="5" fillId="0" borderId="17" xfId="1" applyNumberFormat="1" applyFont="1" applyBorder="1" applyAlignment="1">
      <alignment vertical="center"/>
    </xf>
    <xf numFmtId="178" fontId="5" fillId="0" borderId="18" xfId="1" applyNumberFormat="1" applyFont="1" applyBorder="1" applyAlignment="1">
      <alignment vertical="center"/>
    </xf>
    <xf numFmtId="178" fontId="1" fillId="0" borderId="19" xfId="1" applyNumberFormat="1" applyBorder="1" applyAlignment="1">
      <alignment vertical="center"/>
    </xf>
    <xf numFmtId="0" fontId="5" fillId="0" borderId="20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76" fontId="5" fillId="0" borderId="21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0" xfId="1" applyFont="1" applyBorder="1" applyAlignment="1">
      <alignment vertical="center"/>
    </xf>
    <xf numFmtId="0" fontId="5" fillId="0" borderId="14" xfId="1" applyFont="1" applyBorder="1" applyAlignment="1">
      <alignment horizontal="center" vertical="center"/>
    </xf>
    <xf numFmtId="176" fontId="5" fillId="0" borderId="22" xfId="1" applyNumberFormat="1" applyFont="1" applyBorder="1" applyAlignment="1">
      <alignment vertical="center"/>
    </xf>
    <xf numFmtId="0" fontId="5" fillId="0" borderId="23" xfId="1" applyFont="1" applyBorder="1" applyAlignment="1">
      <alignment vertical="center"/>
    </xf>
    <xf numFmtId="0" fontId="5" fillId="0" borderId="24" xfId="1" applyFont="1" applyBorder="1" applyAlignment="1">
      <alignment horizontal="center" vertical="center"/>
    </xf>
    <xf numFmtId="177" fontId="5" fillId="0" borderId="25" xfId="1" applyNumberFormat="1" applyFont="1" applyBorder="1" applyAlignment="1">
      <alignment vertical="center"/>
    </xf>
    <xf numFmtId="177" fontId="5" fillId="0" borderId="24" xfId="1" applyNumberFormat="1" applyFont="1" applyBorder="1" applyAlignment="1">
      <alignment vertical="center"/>
    </xf>
    <xf numFmtId="177" fontId="5" fillId="0" borderId="26" xfId="1" applyNumberFormat="1" applyFont="1" applyBorder="1" applyAlignment="1">
      <alignment vertical="center"/>
    </xf>
    <xf numFmtId="178" fontId="5" fillId="0" borderId="27" xfId="1" applyNumberFormat="1" applyFont="1" applyBorder="1" applyAlignment="1">
      <alignment vertical="center"/>
    </xf>
    <xf numFmtId="178" fontId="5" fillId="0" borderId="28" xfId="1" applyNumberFormat="1" applyFont="1" applyBorder="1" applyAlignment="1">
      <alignment vertical="center"/>
    </xf>
    <xf numFmtId="178" fontId="5" fillId="0" borderId="26" xfId="1" applyNumberFormat="1" applyFont="1" applyBorder="1" applyAlignment="1">
      <alignment vertical="center"/>
    </xf>
    <xf numFmtId="178" fontId="1" fillId="0" borderId="29" xfId="1" applyNumberFormat="1" applyBorder="1" applyAlignment="1">
      <alignment vertical="center"/>
    </xf>
    <xf numFmtId="0" fontId="5" fillId="0" borderId="30" xfId="1" applyFont="1" applyBorder="1" applyAlignment="1">
      <alignment vertical="center"/>
    </xf>
    <xf numFmtId="0" fontId="5" fillId="0" borderId="27" xfId="1" applyFont="1" applyBorder="1" applyAlignment="1">
      <alignment horizontal="right" vertical="center"/>
    </xf>
    <xf numFmtId="0" fontId="5" fillId="0" borderId="33" xfId="1" applyFont="1" applyBorder="1" applyAlignment="1">
      <alignment horizontal="center" vertical="center"/>
    </xf>
    <xf numFmtId="176" fontId="5" fillId="0" borderId="34" xfId="1" applyNumberFormat="1" applyFont="1" applyBorder="1" applyAlignment="1">
      <alignment vertical="center"/>
    </xf>
    <xf numFmtId="176" fontId="5" fillId="0" borderId="33" xfId="1" applyNumberFormat="1" applyFont="1" applyBorder="1" applyAlignment="1">
      <alignment vertical="center"/>
    </xf>
    <xf numFmtId="176" fontId="5" fillId="0" borderId="35" xfId="1" applyNumberFormat="1" applyFont="1" applyBorder="1" applyAlignment="1">
      <alignment vertical="center"/>
    </xf>
    <xf numFmtId="176" fontId="1" fillId="0" borderId="36" xfId="1" applyNumberFormat="1" applyBorder="1" applyAlignment="1">
      <alignment vertical="center"/>
    </xf>
    <xf numFmtId="0" fontId="5" fillId="0" borderId="26" xfId="1" applyFont="1" applyBorder="1" applyAlignment="1">
      <alignment horizontal="center" vertical="center"/>
    </xf>
    <xf numFmtId="176" fontId="5" fillId="0" borderId="28" xfId="1" applyNumberFormat="1" applyFont="1" applyBorder="1" applyAlignment="1">
      <alignment vertical="center"/>
    </xf>
    <xf numFmtId="176" fontId="5" fillId="0" borderId="26" xfId="1" applyNumberFormat="1" applyFont="1" applyBorder="1" applyAlignment="1">
      <alignment vertical="center"/>
    </xf>
    <xf numFmtId="176" fontId="5" fillId="0" borderId="27" xfId="1" applyNumberFormat="1" applyFont="1" applyBorder="1" applyAlignment="1">
      <alignment vertical="center"/>
    </xf>
    <xf numFmtId="176" fontId="1" fillId="0" borderId="29" xfId="1" applyNumberFormat="1" applyBorder="1" applyAlignment="1">
      <alignment vertical="center"/>
    </xf>
    <xf numFmtId="0" fontId="2" fillId="0" borderId="0" xfId="1" applyFont="1"/>
    <xf numFmtId="0" fontId="5" fillId="0" borderId="0" xfId="2" applyFont="1"/>
    <xf numFmtId="0" fontId="1" fillId="0" borderId="0" xfId="2"/>
    <xf numFmtId="0" fontId="2" fillId="0" borderId="0" xfId="2" applyFont="1"/>
    <xf numFmtId="0" fontId="6" fillId="0" borderId="0" xfId="2" applyFont="1"/>
    <xf numFmtId="0" fontId="5" fillId="0" borderId="0" xfId="2" applyFont="1" applyAlignment="1">
      <alignment horizontal="right"/>
    </xf>
    <xf numFmtId="0" fontId="5" fillId="0" borderId="39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/>
    </xf>
    <xf numFmtId="0" fontId="5" fillId="0" borderId="40" xfId="2" applyFont="1" applyBorder="1" applyAlignment="1">
      <alignment horizontal="center" vertical="center"/>
    </xf>
    <xf numFmtId="0" fontId="5" fillId="0" borderId="43" xfId="2" applyFont="1" applyBorder="1" applyAlignment="1">
      <alignment horizontal="center" vertical="center"/>
    </xf>
    <xf numFmtId="0" fontId="5" fillId="0" borderId="46" xfId="2" applyFont="1" applyBorder="1"/>
    <xf numFmtId="0" fontId="5" fillId="0" borderId="47" xfId="2" applyFont="1" applyBorder="1"/>
    <xf numFmtId="0" fontId="5" fillId="0" borderId="6" xfId="2" applyFont="1" applyBorder="1"/>
    <xf numFmtId="0" fontId="5" fillId="0" borderId="7" xfId="2" applyFont="1" applyBorder="1"/>
    <xf numFmtId="0" fontId="5" fillId="0" borderId="9" xfId="2" applyFont="1" applyBorder="1"/>
    <xf numFmtId="0" fontId="5" fillId="0" borderId="10" xfId="2" applyFont="1" applyBorder="1" applyAlignment="1">
      <alignment vertical="center"/>
    </xf>
    <xf numFmtId="0" fontId="5" fillId="0" borderId="48" xfId="2" applyFont="1" applyBorder="1" applyAlignment="1">
      <alignment vertical="center"/>
    </xf>
    <xf numFmtId="176" fontId="5" fillId="0" borderId="7" xfId="2" applyNumberFormat="1" applyFont="1" applyBorder="1" applyAlignment="1">
      <alignment vertical="center"/>
    </xf>
    <xf numFmtId="176" fontId="5" fillId="0" borderId="0" xfId="2" applyNumberFormat="1" applyFont="1" applyAlignment="1">
      <alignment vertical="center"/>
    </xf>
    <xf numFmtId="176" fontId="5" fillId="0" borderId="6" xfId="2" applyNumberFormat="1" applyFont="1" applyBorder="1" applyAlignment="1">
      <alignment vertical="center"/>
    </xf>
    <xf numFmtId="176" fontId="5" fillId="0" borderId="9" xfId="2" applyNumberFormat="1" applyFont="1" applyBorder="1" applyAlignment="1">
      <alignment vertical="center"/>
    </xf>
    <xf numFmtId="176" fontId="5" fillId="0" borderId="11" xfId="2" applyNumberFormat="1" applyFont="1" applyBorder="1" applyAlignment="1">
      <alignment vertical="center"/>
    </xf>
    <xf numFmtId="176" fontId="5" fillId="0" borderId="12" xfId="2" applyNumberFormat="1" applyFont="1" applyBorder="1" applyAlignment="1">
      <alignment vertical="center"/>
    </xf>
    <xf numFmtId="176" fontId="5" fillId="0" borderId="49" xfId="2" applyNumberFormat="1" applyFont="1" applyBorder="1" applyAlignment="1">
      <alignment vertical="center"/>
    </xf>
    <xf numFmtId="0" fontId="5" fillId="0" borderId="50" xfId="2" applyFont="1" applyBorder="1" applyAlignment="1">
      <alignment vertical="center"/>
    </xf>
    <xf numFmtId="0" fontId="5" fillId="0" borderId="51" xfId="2" applyFont="1" applyBorder="1" applyAlignment="1">
      <alignment horizontal="center" vertical="center"/>
    </xf>
    <xf numFmtId="176" fontId="5" fillId="0" borderId="14" xfId="2" applyNumberFormat="1" applyFont="1" applyBorder="1" applyAlignment="1">
      <alignment vertical="center"/>
    </xf>
    <xf numFmtId="176" fontId="5" fillId="0" borderId="22" xfId="2" applyNumberFormat="1" applyFont="1" applyBorder="1" applyAlignment="1">
      <alignment vertical="center"/>
    </xf>
    <xf numFmtId="176" fontId="5" fillId="0" borderId="13" xfId="2" applyNumberFormat="1" applyFont="1" applyBorder="1" applyAlignment="1">
      <alignment vertical="center"/>
    </xf>
    <xf numFmtId="176" fontId="5" fillId="0" borderId="15" xfId="2" applyNumberFormat="1" applyFont="1" applyBorder="1" applyAlignment="1">
      <alignment vertical="center"/>
    </xf>
    <xf numFmtId="176" fontId="5" fillId="0" borderId="52" xfId="2" applyNumberFormat="1" applyFont="1" applyBorder="1" applyAlignment="1">
      <alignment vertical="center"/>
    </xf>
    <xf numFmtId="178" fontId="5" fillId="0" borderId="26" xfId="2" applyNumberFormat="1" applyFont="1" applyBorder="1" applyAlignment="1">
      <alignment vertical="center"/>
    </xf>
    <xf numFmtId="178" fontId="5" fillId="0" borderId="27" xfId="2" applyNumberFormat="1" applyFont="1" applyBorder="1" applyAlignment="1">
      <alignment vertical="center"/>
    </xf>
    <xf numFmtId="178" fontId="5" fillId="0" borderId="28" xfId="2" applyNumberFormat="1" applyFont="1" applyBorder="1" applyAlignment="1">
      <alignment vertical="center"/>
    </xf>
    <xf numFmtId="178" fontId="5" fillId="0" borderId="29" xfId="2" applyNumberFormat="1" applyFont="1" applyBorder="1" applyAlignment="1">
      <alignment vertical="center"/>
    </xf>
    <xf numFmtId="179" fontId="5" fillId="0" borderId="46" xfId="2" applyNumberFormat="1" applyFont="1" applyBorder="1" applyAlignment="1">
      <alignment vertical="center"/>
    </xf>
    <xf numFmtId="179" fontId="5" fillId="0" borderId="47" xfId="2" applyNumberFormat="1" applyFont="1" applyBorder="1" applyAlignment="1">
      <alignment vertical="center"/>
    </xf>
    <xf numFmtId="179" fontId="5" fillId="0" borderId="12" xfId="2" applyNumberFormat="1" applyFont="1" applyBorder="1" applyAlignment="1">
      <alignment vertical="center"/>
    </xf>
    <xf numFmtId="179" fontId="5" fillId="0" borderId="52" xfId="2" applyNumberFormat="1" applyFont="1" applyBorder="1" applyAlignment="1">
      <alignment vertical="center"/>
    </xf>
    <xf numFmtId="179" fontId="5" fillId="0" borderId="13" xfId="2" applyNumberFormat="1" applyFont="1" applyBorder="1" applyAlignment="1">
      <alignment vertical="center"/>
    </xf>
    <xf numFmtId="179" fontId="5" fillId="0" borderId="14" xfId="2" applyNumberFormat="1" applyFont="1" applyBorder="1" applyAlignment="1">
      <alignment vertical="center"/>
    </xf>
    <xf numFmtId="179" fontId="5" fillId="0" borderId="22" xfId="2" applyNumberFormat="1" applyFont="1" applyBorder="1" applyAlignment="1">
      <alignment vertical="center"/>
    </xf>
    <xf numFmtId="180" fontId="5" fillId="0" borderId="25" xfId="2" applyNumberFormat="1" applyFont="1" applyBorder="1" applyAlignment="1">
      <alignment vertical="center"/>
    </xf>
    <xf numFmtId="180" fontId="5" fillId="0" borderId="24" xfId="2" applyNumberFormat="1" applyFont="1" applyBorder="1" applyAlignment="1">
      <alignment vertical="center"/>
    </xf>
    <xf numFmtId="180" fontId="5" fillId="0" borderId="59" xfId="2" applyNumberFormat="1" applyFont="1" applyBorder="1" applyAlignment="1">
      <alignment vertical="center"/>
    </xf>
    <xf numFmtId="180" fontId="5" fillId="0" borderId="26" xfId="2" applyNumberFormat="1" applyFont="1" applyBorder="1" applyAlignment="1">
      <alignment vertical="center"/>
    </xf>
    <xf numFmtId="0" fontId="2" fillId="0" borderId="0" xfId="3" applyFont="1"/>
    <xf numFmtId="0" fontId="5" fillId="0" borderId="0" xfId="3" applyFont="1"/>
    <xf numFmtId="0" fontId="1" fillId="0" borderId="0" xfId="3"/>
    <xf numFmtId="0" fontId="5" fillId="0" borderId="0" xfId="3" applyFont="1" applyAlignment="1">
      <alignment horizontal="right"/>
    </xf>
    <xf numFmtId="0" fontId="5" fillId="0" borderId="62" xfId="3" applyFont="1" applyBorder="1" applyAlignment="1">
      <alignment horizontal="center" vertical="center"/>
    </xf>
    <xf numFmtId="0" fontId="5" fillId="0" borderId="46" xfId="3" applyFont="1" applyBorder="1" applyAlignment="1">
      <alignment horizontal="center" vertical="center"/>
    </xf>
    <xf numFmtId="0" fontId="5" fillId="0" borderId="66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top"/>
    </xf>
    <xf numFmtId="0" fontId="5" fillId="0" borderId="49" xfId="3" applyFont="1" applyBorder="1" applyAlignment="1">
      <alignment horizontal="center" vertical="top"/>
    </xf>
    <xf numFmtId="176" fontId="5" fillId="0" borderId="45" xfId="3" applyNumberFormat="1" applyFont="1" applyBorder="1" applyAlignment="1">
      <alignment vertical="center"/>
    </xf>
    <xf numFmtId="176" fontId="5" fillId="0" borderId="46" xfId="3" applyNumberFormat="1" applyFont="1" applyBorder="1" applyAlignment="1">
      <alignment vertical="center"/>
    </xf>
    <xf numFmtId="178" fontId="5" fillId="0" borderId="46" xfId="3" applyNumberFormat="1" applyFont="1" applyBorder="1" applyAlignment="1">
      <alignment vertical="center"/>
    </xf>
    <xf numFmtId="178" fontId="5" fillId="0" borderId="66" xfId="3" applyNumberFormat="1" applyFont="1" applyBorder="1" applyAlignment="1">
      <alignment vertical="center"/>
    </xf>
    <xf numFmtId="0" fontId="5" fillId="0" borderId="7" xfId="3" applyFont="1" applyBorder="1" applyAlignment="1">
      <alignment horizontal="center" vertical="center"/>
    </xf>
    <xf numFmtId="176" fontId="5" fillId="0" borderId="48" xfId="3" applyNumberFormat="1" applyFont="1" applyBorder="1" applyAlignment="1">
      <alignment vertical="center"/>
    </xf>
    <xf numFmtId="176" fontId="5" fillId="0" borderId="7" xfId="3" applyNumberFormat="1" applyFont="1" applyBorder="1" applyAlignment="1">
      <alignment vertical="center"/>
    </xf>
    <xf numFmtId="178" fontId="5" fillId="0" borderId="7" xfId="3" applyNumberFormat="1" applyFont="1" applyBorder="1" applyAlignment="1">
      <alignment vertical="center"/>
    </xf>
    <xf numFmtId="178" fontId="5" fillId="0" borderId="9" xfId="3" applyNumberFormat="1" applyFont="1" applyBorder="1" applyAlignment="1">
      <alignment vertical="center"/>
    </xf>
    <xf numFmtId="0" fontId="5" fillId="0" borderId="14" xfId="3" applyFont="1" applyBorder="1" applyAlignment="1">
      <alignment horizontal="center" vertical="center"/>
    </xf>
    <xf numFmtId="176" fontId="5" fillId="0" borderId="51" xfId="3" applyNumberFormat="1" applyFont="1" applyBorder="1" applyAlignment="1">
      <alignment vertical="center"/>
    </xf>
    <xf numFmtId="176" fontId="5" fillId="0" borderId="14" xfId="3" applyNumberFormat="1" applyFont="1" applyBorder="1" applyAlignment="1">
      <alignment vertical="center"/>
    </xf>
    <xf numFmtId="178" fontId="5" fillId="0" borderId="14" xfId="3" applyNumberFormat="1" applyFont="1" applyBorder="1" applyAlignment="1">
      <alignment vertical="center"/>
    </xf>
    <xf numFmtId="178" fontId="5" fillId="0" borderId="15" xfId="3" applyNumberFormat="1" applyFont="1" applyBorder="1" applyAlignment="1">
      <alignment vertical="center"/>
    </xf>
    <xf numFmtId="177" fontId="5" fillId="0" borderId="7" xfId="3" applyNumberFormat="1" applyFont="1" applyBorder="1" applyAlignment="1">
      <alignment vertical="center"/>
    </xf>
    <xf numFmtId="177" fontId="5" fillId="0" borderId="9" xfId="3" applyNumberFormat="1" applyFont="1" applyBorder="1" applyAlignment="1">
      <alignment vertical="center"/>
    </xf>
    <xf numFmtId="177" fontId="5" fillId="0" borderId="46" xfId="3" applyNumberFormat="1" applyFont="1" applyBorder="1" applyAlignment="1">
      <alignment vertical="center"/>
    </xf>
    <xf numFmtId="177" fontId="5" fillId="0" borderId="66" xfId="3" applyNumberFormat="1" applyFont="1" applyBorder="1" applyAlignment="1">
      <alignment vertical="center"/>
    </xf>
    <xf numFmtId="177" fontId="5" fillId="0" borderId="14" xfId="3" applyNumberFormat="1" applyFont="1" applyBorder="1" applyAlignment="1">
      <alignment vertical="center"/>
    </xf>
    <xf numFmtId="177" fontId="5" fillId="0" borderId="15" xfId="3" applyNumberFormat="1" applyFont="1" applyBorder="1" applyAlignment="1">
      <alignment vertical="center"/>
    </xf>
    <xf numFmtId="176" fontId="5" fillId="0" borderId="47" xfId="3" applyNumberFormat="1" applyFont="1" applyBorder="1" applyAlignment="1">
      <alignment vertical="center"/>
    </xf>
    <xf numFmtId="176" fontId="5" fillId="0" borderId="22" xfId="3" applyNumberFormat="1" applyFont="1" applyBorder="1" applyAlignment="1">
      <alignment vertical="center"/>
    </xf>
    <xf numFmtId="181" fontId="5" fillId="0" borderId="46" xfId="3" applyNumberFormat="1" applyFont="1" applyBorder="1" applyAlignment="1">
      <alignment vertical="center"/>
    </xf>
    <xf numFmtId="181" fontId="5" fillId="0" borderId="66" xfId="3" applyNumberFormat="1" applyFont="1" applyBorder="1" applyAlignment="1">
      <alignment vertical="center"/>
    </xf>
    <xf numFmtId="0" fontId="5" fillId="0" borderId="10" xfId="3" applyFont="1" applyBorder="1" applyAlignment="1">
      <alignment horizontal="center" vertical="center"/>
    </xf>
    <xf numFmtId="181" fontId="5" fillId="0" borderId="7" xfId="3" applyNumberFormat="1" applyFont="1" applyBorder="1" applyAlignment="1">
      <alignment vertical="center"/>
    </xf>
    <xf numFmtId="181" fontId="5" fillId="0" borderId="9" xfId="3" applyNumberFormat="1" applyFont="1" applyBorder="1" applyAlignment="1">
      <alignment vertical="center"/>
    </xf>
    <xf numFmtId="0" fontId="5" fillId="0" borderId="55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176" fontId="5" fillId="0" borderId="56" xfId="3" applyNumberFormat="1" applyFont="1" applyBorder="1" applyAlignment="1">
      <alignment vertical="center"/>
    </xf>
    <xf numFmtId="176" fontId="5" fillId="0" borderId="12" xfId="3" applyNumberFormat="1" applyFont="1" applyBorder="1" applyAlignment="1">
      <alignment vertical="center"/>
    </xf>
    <xf numFmtId="178" fontId="5" fillId="0" borderId="12" xfId="3" applyNumberFormat="1" applyFont="1" applyBorder="1" applyAlignment="1">
      <alignment vertical="center"/>
    </xf>
    <xf numFmtId="178" fontId="5" fillId="0" borderId="49" xfId="3" applyNumberFormat="1" applyFont="1" applyBorder="1" applyAlignment="1">
      <alignment vertical="center"/>
    </xf>
    <xf numFmtId="0" fontId="0" fillId="0" borderId="10" xfId="3" applyFont="1" applyBorder="1" applyAlignment="1">
      <alignment horizontal="center" vertical="center"/>
    </xf>
    <xf numFmtId="0" fontId="0" fillId="0" borderId="7" xfId="3" applyFont="1" applyBorder="1" applyAlignment="1">
      <alignment horizontal="center" vertical="center"/>
    </xf>
    <xf numFmtId="176" fontId="0" fillId="0" borderId="48" xfId="3" applyNumberFormat="1" applyFont="1" applyBorder="1" applyAlignment="1">
      <alignment vertical="center"/>
    </xf>
    <xf numFmtId="176" fontId="0" fillId="0" borderId="7" xfId="3" applyNumberFormat="1" applyFont="1" applyBorder="1" applyAlignment="1">
      <alignment vertical="center"/>
    </xf>
    <xf numFmtId="177" fontId="0" fillId="0" borderId="7" xfId="3" applyNumberFormat="1" applyFont="1" applyBorder="1" applyAlignment="1">
      <alignment vertical="center"/>
    </xf>
    <xf numFmtId="181" fontId="0" fillId="0" borderId="9" xfId="3" applyNumberFormat="1" applyFont="1" applyBorder="1" applyAlignment="1">
      <alignment vertical="center"/>
    </xf>
    <xf numFmtId="0" fontId="7" fillId="0" borderId="0" xfId="3" applyFont="1"/>
    <xf numFmtId="181" fontId="0" fillId="0" borderId="7" xfId="3" applyNumberFormat="1" applyFont="1" applyBorder="1" applyAlignment="1">
      <alignment vertical="center"/>
    </xf>
    <xf numFmtId="0" fontId="0" fillId="0" borderId="5" xfId="3" applyFont="1" applyBorder="1" applyAlignment="1">
      <alignment horizontal="center" vertical="center"/>
    </xf>
    <xf numFmtId="0" fontId="0" fillId="0" borderId="5" xfId="3" applyFont="1" applyBorder="1"/>
    <xf numFmtId="0" fontId="0" fillId="0" borderId="23" xfId="3" applyFont="1" applyBorder="1" applyAlignment="1">
      <alignment horizontal="center" vertical="center"/>
    </xf>
    <xf numFmtId="0" fontId="0" fillId="0" borderId="24" xfId="3" applyFont="1" applyBorder="1" applyAlignment="1">
      <alignment horizontal="center" vertical="center"/>
    </xf>
    <xf numFmtId="176" fontId="0" fillId="0" borderId="58" xfId="3" applyNumberFormat="1" applyFont="1" applyBorder="1" applyAlignment="1">
      <alignment vertical="center"/>
    </xf>
    <xf numFmtId="176" fontId="0" fillId="0" borderId="24" xfId="3" applyNumberFormat="1" applyFont="1" applyBorder="1" applyAlignment="1">
      <alignment vertical="center"/>
    </xf>
    <xf numFmtId="178" fontId="0" fillId="0" borderId="24" xfId="3" applyNumberFormat="1" applyFont="1" applyBorder="1" applyAlignment="1">
      <alignment vertical="center"/>
    </xf>
    <xf numFmtId="178" fontId="0" fillId="0" borderId="69" xfId="3" applyNumberFormat="1" applyFont="1" applyBorder="1" applyAlignment="1">
      <alignment vertical="center"/>
    </xf>
    <xf numFmtId="176" fontId="1" fillId="0" borderId="0" xfId="3" applyNumberFormat="1"/>
    <xf numFmtId="0" fontId="5" fillId="0" borderId="0" xfId="2" applyFont="1" applyAlignment="1">
      <alignment horizontal="left"/>
    </xf>
    <xf numFmtId="0" fontId="5" fillId="0" borderId="62" xfId="2" applyFont="1" applyBorder="1" applyAlignment="1">
      <alignment horizontal="center" vertical="center"/>
    </xf>
    <xf numFmtId="0" fontId="8" fillId="0" borderId="40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8" fillId="0" borderId="46" xfId="2" applyFont="1" applyBorder="1" applyAlignment="1">
      <alignment horizontal="center" vertical="center"/>
    </xf>
    <xf numFmtId="0" fontId="8" fillId="0" borderId="66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49" xfId="2" applyFont="1" applyBorder="1" applyAlignment="1">
      <alignment horizontal="center" vertical="center"/>
    </xf>
    <xf numFmtId="176" fontId="5" fillId="0" borderId="46" xfId="2" applyNumberFormat="1" applyFont="1" applyBorder="1" applyAlignment="1">
      <alignment vertical="center"/>
    </xf>
    <xf numFmtId="177" fontId="5" fillId="0" borderId="46" xfId="2" applyNumberFormat="1" applyFont="1" applyBorder="1" applyAlignment="1">
      <alignment vertical="center"/>
    </xf>
    <xf numFmtId="177" fontId="5" fillId="0" borderId="66" xfId="2" applyNumberFormat="1" applyFont="1" applyBorder="1" applyAlignment="1">
      <alignment vertical="center"/>
    </xf>
    <xf numFmtId="177" fontId="5" fillId="0" borderId="12" xfId="2" applyNumberFormat="1" applyFont="1" applyBorder="1" applyAlignment="1">
      <alignment vertical="center"/>
    </xf>
    <xf numFmtId="177" fontId="5" fillId="0" borderId="49" xfId="2" applyNumberFormat="1" applyFont="1" applyBorder="1" applyAlignment="1">
      <alignment vertical="center"/>
    </xf>
    <xf numFmtId="177" fontId="5" fillId="0" borderId="14" xfId="2" applyNumberFormat="1" applyFont="1" applyBorder="1" applyAlignment="1">
      <alignment vertical="center"/>
    </xf>
    <xf numFmtId="177" fontId="5" fillId="0" borderId="15" xfId="2" applyNumberFormat="1" applyFont="1" applyBorder="1" applyAlignment="1">
      <alignment vertical="center"/>
    </xf>
    <xf numFmtId="177" fontId="5" fillId="0" borderId="7" xfId="2" applyNumberFormat="1" applyFont="1" applyBorder="1" applyAlignment="1">
      <alignment vertical="center"/>
    </xf>
    <xf numFmtId="177" fontId="5" fillId="0" borderId="9" xfId="2" applyNumberFormat="1" applyFont="1" applyBorder="1" applyAlignment="1">
      <alignment vertical="center"/>
    </xf>
    <xf numFmtId="0" fontId="0" fillId="0" borderId="46" xfId="2" applyFont="1" applyBorder="1" applyAlignment="1">
      <alignment vertical="center"/>
    </xf>
    <xf numFmtId="176" fontId="0" fillId="0" borderId="46" xfId="2" applyNumberFormat="1" applyFont="1" applyBorder="1" applyAlignment="1">
      <alignment vertical="center"/>
    </xf>
    <xf numFmtId="177" fontId="0" fillId="0" borderId="46" xfId="2" applyNumberFormat="1" applyFont="1" applyBorder="1" applyAlignment="1">
      <alignment vertical="center"/>
    </xf>
    <xf numFmtId="177" fontId="0" fillId="0" borderId="7" xfId="2" applyNumberFormat="1" applyFont="1" applyBorder="1" applyAlignment="1">
      <alignment vertical="center"/>
    </xf>
    <xf numFmtId="177" fontId="0" fillId="0" borderId="9" xfId="2" applyNumberFormat="1" applyFont="1" applyBorder="1" applyAlignment="1">
      <alignment vertical="center"/>
    </xf>
    <xf numFmtId="0" fontId="7" fillId="0" borderId="0" xfId="2" applyFont="1"/>
    <xf numFmtId="0" fontId="0" fillId="0" borderId="7" xfId="2" applyFont="1" applyBorder="1" applyAlignment="1">
      <alignment horizontal="center" vertical="center"/>
    </xf>
    <xf numFmtId="0" fontId="0" fillId="0" borderId="7" xfId="2" applyFont="1" applyBorder="1" applyAlignment="1">
      <alignment vertical="center"/>
    </xf>
    <xf numFmtId="176" fontId="0" fillId="0" borderId="7" xfId="2" applyNumberFormat="1" applyFont="1" applyBorder="1" applyAlignment="1">
      <alignment vertical="center"/>
    </xf>
    <xf numFmtId="176" fontId="0" fillId="0" borderId="6" xfId="2" applyNumberFormat="1" applyFont="1" applyBorder="1" applyAlignment="1">
      <alignment vertical="center"/>
    </xf>
    <xf numFmtId="0" fontId="0" fillId="0" borderId="12" xfId="2" applyFont="1" applyBorder="1" applyAlignment="1">
      <alignment vertical="center"/>
    </xf>
    <xf numFmtId="176" fontId="0" fillId="0" borderId="12" xfId="2" applyNumberFormat="1" applyFont="1" applyBorder="1" applyAlignment="1">
      <alignment vertical="center"/>
    </xf>
    <xf numFmtId="177" fontId="0" fillId="0" borderId="12" xfId="2" applyNumberFormat="1" applyFont="1" applyBorder="1" applyAlignment="1">
      <alignment vertical="center"/>
    </xf>
    <xf numFmtId="177" fontId="0" fillId="0" borderId="49" xfId="2" applyNumberFormat="1" applyFont="1" applyBorder="1" applyAlignment="1">
      <alignment vertical="center"/>
    </xf>
    <xf numFmtId="0" fontId="0" fillId="0" borderId="12" xfId="2" applyFont="1" applyBorder="1" applyAlignment="1">
      <alignment horizontal="center" vertical="center"/>
    </xf>
    <xf numFmtId="0" fontId="0" fillId="0" borderId="14" xfId="2" applyFont="1" applyBorder="1" applyAlignment="1">
      <alignment horizontal="center" vertical="center"/>
    </xf>
    <xf numFmtId="176" fontId="0" fillId="0" borderId="14" xfId="2" applyNumberFormat="1" applyFont="1" applyBorder="1" applyAlignment="1">
      <alignment vertical="center"/>
    </xf>
    <xf numFmtId="178" fontId="0" fillId="0" borderId="14" xfId="2" applyNumberFormat="1" applyFont="1" applyBorder="1" applyAlignment="1">
      <alignment vertical="center"/>
    </xf>
    <xf numFmtId="178" fontId="0" fillId="0" borderId="15" xfId="2" applyNumberFormat="1" applyFont="1" applyBorder="1" applyAlignment="1">
      <alignment vertical="center"/>
    </xf>
    <xf numFmtId="0" fontId="0" fillId="0" borderId="46" xfId="2" applyFont="1" applyBorder="1" applyAlignment="1">
      <alignment horizontal="center" vertical="center"/>
    </xf>
    <xf numFmtId="0" fontId="0" fillId="0" borderId="46" xfId="2" applyFont="1" applyBorder="1" applyAlignment="1">
      <alignment horizontal="left" vertical="center" shrinkToFit="1"/>
    </xf>
    <xf numFmtId="177" fontId="0" fillId="0" borderId="66" xfId="2" applyNumberFormat="1" applyFont="1" applyBorder="1" applyAlignment="1">
      <alignment vertical="center"/>
    </xf>
    <xf numFmtId="0" fontId="0" fillId="0" borderId="7" xfId="2" applyFont="1" applyBorder="1" applyAlignment="1">
      <alignment horizontal="left" vertical="center"/>
    </xf>
    <xf numFmtId="0" fontId="0" fillId="0" borderId="12" xfId="2" applyFont="1" applyBorder="1" applyAlignment="1">
      <alignment horizontal="left" vertical="center"/>
    </xf>
    <xf numFmtId="177" fontId="0" fillId="0" borderId="14" xfId="2" applyNumberFormat="1" applyFont="1" applyBorder="1" applyAlignment="1">
      <alignment vertical="center"/>
    </xf>
    <xf numFmtId="177" fontId="0" fillId="0" borderId="15" xfId="2" applyNumberFormat="1" applyFont="1" applyBorder="1" applyAlignment="1">
      <alignment vertical="center"/>
    </xf>
    <xf numFmtId="176" fontId="0" fillId="0" borderId="24" xfId="2" applyNumberFormat="1" applyFont="1" applyBorder="1" applyAlignment="1">
      <alignment vertical="center"/>
    </xf>
    <xf numFmtId="177" fontId="0" fillId="0" borderId="24" xfId="2" applyNumberFormat="1" applyFont="1" applyBorder="1" applyAlignment="1">
      <alignment vertical="center"/>
    </xf>
    <xf numFmtId="177" fontId="0" fillId="0" borderId="69" xfId="2" applyNumberFormat="1" applyFont="1" applyBorder="1" applyAlignment="1">
      <alignment vertical="center"/>
    </xf>
    <xf numFmtId="0" fontId="0" fillId="0" borderId="0" xfId="2" applyFont="1"/>
    <xf numFmtId="0" fontId="2" fillId="0" borderId="0" xfId="4" applyFont="1"/>
    <xf numFmtId="0" fontId="5" fillId="0" borderId="0" xfId="4" applyFont="1"/>
    <xf numFmtId="0" fontId="0" fillId="0" borderId="0" xfId="4" applyFont="1"/>
    <xf numFmtId="0" fontId="6" fillId="0" borderId="0" xfId="4" applyFont="1"/>
    <xf numFmtId="0" fontId="5" fillId="0" borderId="0" xfId="4" applyFont="1" applyAlignment="1">
      <alignment horizontal="right"/>
    </xf>
    <xf numFmtId="0" fontId="5" fillId="0" borderId="14" xfId="4" applyFont="1" applyBorder="1" applyAlignment="1">
      <alignment horizontal="center" vertical="center"/>
    </xf>
    <xf numFmtId="0" fontId="5" fillId="0" borderId="15" xfId="4" applyFont="1" applyBorder="1" applyAlignment="1">
      <alignment horizontal="center" vertical="center"/>
    </xf>
    <xf numFmtId="0" fontId="5" fillId="0" borderId="46" xfId="4" applyFont="1" applyBorder="1" applyAlignment="1">
      <alignment horizontal="center" vertical="center"/>
    </xf>
    <xf numFmtId="176" fontId="5" fillId="0" borderId="46" xfId="4" applyNumberFormat="1" applyFont="1" applyBorder="1" applyAlignment="1">
      <alignment vertical="center"/>
    </xf>
    <xf numFmtId="177" fontId="5" fillId="0" borderId="46" xfId="4" applyNumberFormat="1" applyFont="1" applyBorder="1" applyAlignment="1">
      <alignment vertical="center"/>
    </xf>
    <xf numFmtId="177" fontId="5" fillId="0" borderId="66" xfId="4" applyNumberFormat="1" applyFont="1" applyBorder="1" applyAlignment="1">
      <alignment vertical="center"/>
    </xf>
    <xf numFmtId="0" fontId="5" fillId="0" borderId="7" xfId="4" applyFont="1" applyBorder="1" applyAlignment="1">
      <alignment horizontal="center" vertical="center"/>
    </xf>
    <xf numFmtId="176" fontId="5" fillId="0" borderId="7" xfId="4" applyNumberFormat="1" applyFont="1" applyBorder="1" applyAlignment="1">
      <alignment vertical="center"/>
    </xf>
    <xf numFmtId="177" fontId="5" fillId="0" borderId="7" xfId="4" applyNumberFormat="1" applyFont="1" applyBorder="1" applyAlignment="1">
      <alignment vertical="center"/>
    </xf>
    <xf numFmtId="177" fontId="5" fillId="0" borderId="9" xfId="4" applyNumberFormat="1" applyFont="1" applyBorder="1" applyAlignment="1">
      <alignment vertical="center"/>
    </xf>
    <xf numFmtId="0" fontId="5" fillId="0" borderId="12" xfId="4" applyFont="1" applyBorder="1" applyAlignment="1">
      <alignment horizontal="center" vertical="center"/>
    </xf>
    <xf numFmtId="176" fontId="5" fillId="0" borderId="12" xfId="4" applyNumberFormat="1" applyFont="1" applyBorder="1" applyAlignment="1">
      <alignment vertical="center"/>
    </xf>
    <xf numFmtId="177" fontId="5" fillId="0" borderId="12" xfId="4" applyNumberFormat="1" applyFont="1" applyBorder="1" applyAlignment="1">
      <alignment vertical="center"/>
    </xf>
    <xf numFmtId="177" fontId="5" fillId="0" borderId="49" xfId="4" applyNumberFormat="1" applyFont="1" applyBorder="1" applyAlignment="1">
      <alignment vertical="center"/>
    </xf>
    <xf numFmtId="176" fontId="5" fillId="0" borderId="14" xfId="4" applyNumberFormat="1" applyFont="1" applyBorder="1" applyAlignment="1">
      <alignment vertical="center"/>
    </xf>
    <xf numFmtId="177" fontId="5" fillId="0" borderId="14" xfId="4" applyNumberFormat="1" applyFont="1" applyBorder="1" applyAlignment="1">
      <alignment vertical="center"/>
    </xf>
    <xf numFmtId="177" fontId="5" fillId="0" borderId="15" xfId="4" applyNumberFormat="1" applyFont="1" applyBorder="1" applyAlignment="1">
      <alignment vertical="center"/>
    </xf>
    <xf numFmtId="176" fontId="5" fillId="0" borderId="12" xfId="4" applyNumberFormat="1" applyFont="1" applyBorder="1" applyAlignment="1">
      <alignment horizontal="center" vertical="center"/>
    </xf>
    <xf numFmtId="176" fontId="5" fillId="0" borderId="12" xfId="4" applyNumberFormat="1" applyFont="1" applyBorder="1" applyAlignment="1">
      <alignment horizontal="right" vertical="center"/>
    </xf>
    <xf numFmtId="176" fontId="5" fillId="0" borderId="49" xfId="4" applyNumberFormat="1" applyFont="1" applyBorder="1" applyAlignment="1">
      <alignment horizontal="right" vertical="center"/>
    </xf>
    <xf numFmtId="177" fontId="5" fillId="0" borderId="72" xfId="4" applyNumberFormat="1" applyFont="1" applyBorder="1" applyAlignment="1">
      <alignment vertical="center"/>
    </xf>
    <xf numFmtId="176" fontId="5" fillId="0" borderId="7" xfId="4" applyNumberFormat="1" applyFont="1" applyBorder="1" applyAlignment="1">
      <alignment horizontal="center" vertical="center"/>
    </xf>
    <xf numFmtId="177" fontId="5" fillId="0" borderId="7" xfId="4" applyNumberFormat="1" applyFont="1" applyBorder="1" applyAlignment="1">
      <alignment horizontal="right" vertical="center"/>
    </xf>
    <xf numFmtId="177" fontId="5" fillId="0" borderId="49" xfId="4" applyNumberFormat="1" applyFont="1" applyBorder="1" applyAlignment="1">
      <alignment horizontal="right" vertical="center"/>
    </xf>
    <xf numFmtId="177" fontId="5" fillId="0" borderId="12" xfId="4" applyNumberFormat="1" applyFont="1" applyBorder="1" applyAlignment="1">
      <alignment horizontal="right" vertical="center"/>
    </xf>
    <xf numFmtId="177" fontId="5" fillId="0" borderId="73" xfId="4" applyNumberFormat="1" applyFont="1" applyBorder="1" applyAlignment="1">
      <alignment horizontal="right" vertical="center"/>
    </xf>
    <xf numFmtId="177" fontId="5" fillId="0" borderId="74" xfId="4" applyNumberFormat="1" applyFont="1" applyBorder="1" applyAlignment="1">
      <alignment vertical="center"/>
    </xf>
    <xf numFmtId="177" fontId="5" fillId="0" borderId="73" xfId="4" applyNumberFormat="1" applyFont="1" applyBorder="1" applyAlignment="1">
      <alignment vertical="center"/>
    </xf>
    <xf numFmtId="0" fontId="0" fillId="0" borderId="46" xfId="4" applyFont="1" applyBorder="1" applyAlignment="1">
      <alignment horizontal="center" vertical="center"/>
    </xf>
    <xf numFmtId="176" fontId="0" fillId="0" borderId="46" xfId="4" applyNumberFormat="1" applyFont="1" applyBorder="1" applyAlignment="1">
      <alignment vertical="center"/>
    </xf>
    <xf numFmtId="177" fontId="0" fillId="0" borderId="46" xfId="4" applyNumberFormat="1" applyFont="1" applyBorder="1" applyAlignment="1">
      <alignment vertical="center"/>
    </xf>
    <xf numFmtId="177" fontId="0" fillId="0" borderId="74" xfId="4" applyNumberFormat="1" applyFont="1" applyBorder="1" applyAlignment="1">
      <alignment vertical="center"/>
    </xf>
    <xf numFmtId="0" fontId="7" fillId="0" borderId="0" xfId="4" applyFont="1"/>
    <xf numFmtId="0" fontId="0" fillId="0" borderId="7" xfId="4" applyFont="1" applyBorder="1" applyAlignment="1">
      <alignment horizontal="center" vertical="center"/>
    </xf>
    <xf numFmtId="176" fontId="0" fillId="0" borderId="7" xfId="4" applyNumberFormat="1" applyFont="1" applyBorder="1" applyAlignment="1">
      <alignment vertical="center"/>
    </xf>
    <xf numFmtId="177" fontId="0" fillId="0" borderId="7" xfId="4" applyNumberFormat="1" applyFont="1" applyBorder="1" applyAlignment="1">
      <alignment vertical="center"/>
    </xf>
    <xf numFmtId="177" fontId="0" fillId="0" borderId="72" xfId="4" applyNumberFormat="1" applyFont="1" applyBorder="1" applyAlignment="1">
      <alignment vertical="center"/>
    </xf>
    <xf numFmtId="0" fontId="0" fillId="0" borderId="12" xfId="4" applyFont="1" applyBorder="1" applyAlignment="1">
      <alignment horizontal="center" vertical="center"/>
    </xf>
    <xf numFmtId="176" fontId="0" fillId="0" borderId="12" xfId="4" applyNumberFormat="1" applyFont="1" applyBorder="1" applyAlignment="1">
      <alignment horizontal="center" vertical="center"/>
    </xf>
    <xf numFmtId="0" fontId="0" fillId="0" borderId="26" xfId="4" applyFont="1" applyBorder="1" applyAlignment="1">
      <alignment horizontal="center" vertical="center"/>
    </xf>
    <xf numFmtId="176" fontId="0" fillId="0" borderId="26" xfId="4" applyNumberFormat="1" applyFont="1" applyBorder="1" applyAlignment="1">
      <alignment vertical="center"/>
    </xf>
    <xf numFmtId="177" fontId="0" fillId="0" borderId="26" xfId="4" applyNumberFormat="1" applyFont="1" applyBorder="1" applyAlignment="1">
      <alignment vertical="center"/>
    </xf>
    <xf numFmtId="177" fontId="0" fillId="0" borderId="75" xfId="4" applyNumberFormat="1" applyFont="1" applyBorder="1" applyAlignment="1">
      <alignment vertical="center"/>
    </xf>
    <xf numFmtId="176" fontId="5" fillId="0" borderId="0" xfId="4" applyNumberFormat="1" applyFont="1"/>
    <xf numFmtId="177" fontId="5" fillId="0" borderId="0" xfId="4" applyNumberFormat="1" applyFont="1"/>
    <xf numFmtId="0" fontId="0" fillId="0" borderId="0" xfId="4" applyFont="1" applyAlignment="1">
      <alignment vertical="top"/>
    </xf>
    <xf numFmtId="0" fontId="0" fillId="0" borderId="0" xfId="4" applyFont="1" applyAlignment="1">
      <alignment horizontal="right"/>
    </xf>
    <xf numFmtId="0" fontId="0" fillId="0" borderId="44" xfId="4" applyFont="1" applyBorder="1" applyAlignment="1">
      <alignment horizontal="center" vertical="center"/>
    </xf>
    <xf numFmtId="0" fontId="0" fillId="0" borderId="10" xfId="4" applyFont="1" applyBorder="1" applyAlignment="1">
      <alignment horizontal="center" vertical="center"/>
    </xf>
    <xf numFmtId="41" fontId="0" fillId="0" borderId="7" xfId="4" applyNumberFormat="1" applyFont="1" applyBorder="1" applyAlignment="1">
      <alignment horizontal="right" vertical="center"/>
    </xf>
    <xf numFmtId="0" fontId="0" fillId="0" borderId="55" xfId="4" applyFont="1" applyBorder="1" applyAlignment="1">
      <alignment horizontal="center" vertical="center"/>
    </xf>
    <xf numFmtId="176" fontId="0" fillId="0" borderId="12" xfId="4" applyNumberFormat="1" applyFont="1" applyBorder="1" applyAlignment="1">
      <alignment vertical="center"/>
    </xf>
    <xf numFmtId="0" fontId="0" fillId="0" borderId="23" xfId="4" applyFont="1" applyBorder="1" applyAlignment="1">
      <alignment horizontal="center" vertical="center"/>
    </xf>
    <xf numFmtId="0" fontId="0" fillId="0" borderId="30" xfId="4" applyFont="1" applyBorder="1" applyAlignment="1">
      <alignment vertical="center"/>
    </xf>
    <xf numFmtId="0" fontId="2" fillId="0" borderId="0" xfId="5" applyFont="1"/>
    <xf numFmtId="0" fontId="10" fillId="0" borderId="0" xfId="5" applyFont="1"/>
    <xf numFmtId="0" fontId="5" fillId="0" borderId="0" xfId="5" applyFont="1"/>
    <xf numFmtId="0" fontId="0" fillId="0" borderId="0" xfId="5" applyFont="1"/>
    <xf numFmtId="0" fontId="5" fillId="0" borderId="0" xfId="5" applyFont="1" applyAlignment="1">
      <alignment horizontal="right"/>
    </xf>
    <xf numFmtId="0" fontId="5" fillId="0" borderId="77" xfId="5" applyFont="1" applyBorder="1" applyAlignment="1">
      <alignment horizontal="center" vertical="center"/>
    </xf>
    <xf numFmtId="0" fontId="5" fillId="0" borderId="62" xfId="5" applyFont="1" applyBorder="1" applyAlignment="1">
      <alignment horizontal="center" vertical="center"/>
    </xf>
    <xf numFmtId="0" fontId="5" fillId="0" borderId="39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/>
    </xf>
    <xf numFmtId="0" fontId="5" fillId="0" borderId="32" xfId="5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5" fillId="0" borderId="4" xfId="5" applyFont="1" applyBorder="1" applyAlignment="1">
      <alignment horizontal="center" vertical="center"/>
    </xf>
    <xf numFmtId="0" fontId="5" fillId="0" borderId="67" xfId="5" applyFont="1" applyBorder="1" applyAlignment="1">
      <alignment horizontal="center" vertical="center"/>
    </xf>
    <xf numFmtId="176" fontId="5" fillId="0" borderId="67" xfId="5" applyNumberFormat="1" applyFont="1" applyBorder="1" applyAlignment="1">
      <alignment vertical="center"/>
    </xf>
    <xf numFmtId="176" fontId="5" fillId="0" borderId="78" xfId="5" applyNumberFormat="1" applyFont="1" applyBorder="1" applyAlignment="1">
      <alignment vertical="center"/>
    </xf>
    <xf numFmtId="176" fontId="5" fillId="0" borderId="11" xfId="5" applyNumberFormat="1" applyFont="1" applyBorder="1" applyAlignment="1">
      <alignment vertical="center"/>
    </xf>
    <xf numFmtId="176" fontId="5" fillId="0" borderId="12" xfId="5" applyNumberFormat="1" applyFont="1" applyBorder="1" applyAlignment="1">
      <alignment vertical="center"/>
    </xf>
    <xf numFmtId="176" fontId="5" fillId="0" borderId="52" xfId="5" applyNumberFormat="1" applyFont="1" applyBorder="1" applyAlignment="1">
      <alignment vertical="center"/>
    </xf>
    <xf numFmtId="176" fontId="0" fillId="0" borderId="49" xfId="5" applyNumberFormat="1" applyFont="1" applyBorder="1" applyAlignment="1">
      <alignment vertical="center"/>
    </xf>
    <xf numFmtId="0" fontId="5" fillId="0" borderId="14" xfId="5" applyFont="1" applyBorder="1" applyAlignment="1">
      <alignment horizontal="center" vertical="center"/>
    </xf>
    <xf numFmtId="177" fontId="5" fillId="0" borderId="14" xfId="5" applyNumberFormat="1" applyFont="1" applyBorder="1" applyAlignment="1">
      <alignment vertical="center"/>
    </xf>
    <xf numFmtId="177" fontId="5" fillId="0" borderId="13" xfId="5" applyNumberFormat="1" applyFont="1" applyBorder="1" applyAlignment="1">
      <alignment vertical="center"/>
    </xf>
    <xf numFmtId="178" fontId="5" fillId="0" borderId="14" xfId="5" applyNumberFormat="1" applyFont="1" applyBorder="1" applyAlignment="1">
      <alignment vertical="center"/>
    </xf>
    <xf numFmtId="178" fontId="5" fillId="0" borderId="22" xfId="5" applyNumberFormat="1" applyFont="1" applyBorder="1" applyAlignment="1">
      <alignment vertical="center"/>
    </xf>
    <xf numFmtId="178" fontId="5" fillId="0" borderId="13" xfId="5" applyNumberFormat="1" applyFont="1" applyBorder="1" applyAlignment="1">
      <alignment vertical="center"/>
    </xf>
    <xf numFmtId="178" fontId="0" fillId="0" borderId="15" xfId="5" applyNumberFormat="1" applyFont="1" applyBorder="1" applyAlignment="1">
      <alignment vertical="center"/>
    </xf>
    <xf numFmtId="176" fontId="5" fillId="0" borderId="14" xfId="5" applyNumberFormat="1" applyFont="1" applyBorder="1" applyAlignment="1">
      <alignment vertical="center"/>
    </xf>
    <xf numFmtId="176" fontId="5" fillId="0" borderId="13" xfId="5" applyNumberFormat="1" applyFont="1" applyBorder="1" applyAlignment="1">
      <alignment vertical="center"/>
    </xf>
    <xf numFmtId="176" fontId="5" fillId="0" borderId="22" xfId="5" applyNumberFormat="1" applyFont="1" applyBorder="1" applyAlignment="1">
      <alignment vertical="center"/>
    </xf>
    <xf numFmtId="176" fontId="0" fillId="0" borderId="15" xfId="5" applyNumberFormat="1" applyFont="1" applyBorder="1" applyAlignment="1">
      <alignment vertical="center"/>
    </xf>
    <xf numFmtId="0" fontId="5" fillId="0" borderId="18" xfId="5" applyFont="1" applyBorder="1" applyAlignment="1">
      <alignment horizontal="center" vertical="center"/>
    </xf>
    <xf numFmtId="177" fontId="5" fillId="0" borderId="18" xfId="5" applyNumberFormat="1" applyFont="1" applyBorder="1" applyAlignment="1">
      <alignment vertical="center"/>
    </xf>
    <xf numFmtId="177" fontId="5" fillId="0" borderId="17" xfId="5" applyNumberFormat="1" applyFont="1" applyBorder="1" applyAlignment="1">
      <alignment vertical="center"/>
    </xf>
    <xf numFmtId="178" fontId="5" fillId="0" borderId="18" xfId="5" applyNumberFormat="1" applyFont="1" applyBorder="1" applyAlignment="1">
      <alignment vertical="center"/>
    </xf>
    <xf numFmtId="178" fontId="5" fillId="0" borderId="79" xfId="5" applyNumberFormat="1" applyFont="1" applyBorder="1" applyAlignment="1">
      <alignment vertical="center"/>
    </xf>
    <xf numFmtId="178" fontId="5" fillId="0" borderId="17" xfId="5" applyNumberFormat="1" applyFont="1" applyBorder="1" applyAlignment="1">
      <alignment vertical="center"/>
    </xf>
    <xf numFmtId="178" fontId="0" fillId="0" borderId="19" xfId="5" applyNumberFormat="1" applyFont="1" applyBorder="1" applyAlignment="1">
      <alignment vertical="center"/>
    </xf>
    <xf numFmtId="0" fontId="5" fillId="0" borderId="81" xfId="5" applyFont="1" applyBorder="1" applyAlignment="1">
      <alignment horizontal="center" vertical="center"/>
    </xf>
    <xf numFmtId="0" fontId="5" fillId="0" borderId="51" xfId="5" applyFont="1" applyBorder="1" applyAlignment="1">
      <alignment horizontal="center" vertical="center"/>
    </xf>
    <xf numFmtId="0" fontId="5" fillId="0" borderId="83" xfId="5" applyFont="1" applyBorder="1" applyAlignment="1">
      <alignment horizontal="center" vertical="center"/>
    </xf>
    <xf numFmtId="176" fontId="5" fillId="0" borderId="78" xfId="5" applyNumberFormat="1" applyFont="1" applyBorder="1" applyAlignment="1">
      <alignment horizontal="center" vertical="center"/>
    </xf>
    <xf numFmtId="177" fontId="5" fillId="0" borderId="13" xfId="5" applyNumberFormat="1" applyFont="1" applyBorder="1" applyAlignment="1">
      <alignment horizontal="center" vertical="center"/>
    </xf>
    <xf numFmtId="176" fontId="5" fillId="0" borderId="13" xfId="5" applyNumberFormat="1" applyFont="1" applyBorder="1" applyAlignment="1">
      <alignment horizontal="center" vertical="center"/>
    </xf>
    <xf numFmtId="177" fontId="5" fillId="0" borderId="17" xfId="5" applyNumberFormat="1" applyFont="1" applyBorder="1" applyAlignment="1">
      <alignment horizontal="center" vertical="center"/>
    </xf>
    <xf numFmtId="177" fontId="5" fillId="0" borderId="67" xfId="5" applyNumberFormat="1" applyFont="1" applyBorder="1" applyAlignment="1">
      <alignment vertical="center"/>
    </xf>
    <xf numFmtId="177" fontId="5" fillId="0" borderId="78" xfId="5" applyNumberFormat="1" applyFont="1" applyBorder="1" applyAlignment="1">
      <alignment horizontal="center" vertical="center"/>
    </xf>
    <xf numFmtId="177" fontId="5" fillId="0" borderId="67" xfId="5" applyNumberFormat="1" applyFont="1" applyBorder="1" applyAlignment="1">
      <alignment horizontal="center" vertical="center"/>
    </xf>
    <xf numFmtId="176" fontId="5" fillId="0" borderId="84" xfId="5" applyNumberFormat="1" applyFont="1" applyBorder="1" applyAlignment="1">
      <alignment vertical="center"/>
    </xf>
    <xf numFmtId="42" fontId="0" fillId="0" borderId="78" xfId="5" applyNumberFormat="1" applyFont="1" applyBorder="1" applyAlignment="1">
      <alignment horizontal="right" vertical="center"/>
    </xf>
    <xf numFmtId="42" fontId="0" fillId="0" borderId="67" xfId="5" applyNumberFormat="1" applyFont="1" applyBorder="1" applyAlignment="1">
      <alignment horizontal="right" vertical="center"/>
    </xf>
    <xf numFmtId="42" fontId="0" fillId="0" borderId="85" xfId="5" applyNumberFormat="1" applyFont="1" applyBorder="1" applyAlignment="1">
      <alignment horizontal="right" vertical="center"/>
    </xf>
    <xf numFmtId="177" fontId="5" fillId="0" borderId="14" xfId="5" applyNumberFormat="1" applyFont="1" applyBorder="1" applyAlignment="1">
      <alignment horizontal="center" vertical="center"/>
    </xf>
    <xf numFmtId="178" fontId="5" fillId="0" borderId="13" xfId="5" applyNumberFormat="1" applyFont="1" applyBorder="1" applyAlignment="1">
      <alignment horizontal="center" vertical="center"/>
    </xf>
    <xf numFmtId="42" fontId="0" fillId="0" borderId="13" xfId="5" applyNumberFormat="1" applyFont="1" applyBorder="1" applyAlignment="1">
      <alignment horizontal="right" vertical="center"/>
    </xf>
    <xf numFmtId="42" fontId="0" fillId="0" borderId="14" xfId="5" applyNumberFormat="1" applyFont="1" applyBorder="1" applyAlignment="1">
      <alignment horizontal="right" vertical="center"/>
    </xf>
    <xf numFmtId="42" fontId="0" fillId="0" borderId="15" xfId="5" applyNumberFormat="1" applyFont="1" applyBorder="1" applyAlignment="1">
      <alignment horizontal="right" vertical="center"/>
    </xf>
    <xf numFmtId="0" fontId="5" fillId="0" borderId="7" xfId="5" applyFont="1" applyBorder="1" applyAlignment="1">
      <alignment horizontal="center" vertical="center"/>
    </xf>
    <xf numFmtId="177" fontId="5" fillId="0" borderId="7" xfId="5" applyNumberFormat="1" applyFont="1" applyBorder="1" applyAlignment="1">
      <alignment vertical="center"/>
    </xf>
    <xf numFmtId="177" fontId="5" fillId="0" borderId="6" xfId="5" applyNumberFormat="1" applyFont="1" applyBorder="1" applyAlignment="1">
      <alignment horizontal="center" vertical="center"/>
    </xf>
    <xf numFmtId="177" fontId="5" fillId="0" borderId="7" xfId="5" applyNumberFormat="1" applyFont="1" applyBorder="1" applyAlignment="1">
      <alignment horizontal="center" vertical="center"/>
    </xf>
    <xf numFmtId="177" fontId="5" fillId="0" borderId="18" xfId="5" applyNumberFormat="1" applyFont="1" applyBorder="1" applyAlignment="1">
      <alignment horizontal="center" vertical="center"/>
    </xf>
    <xf numFmtId="178" fontId="5" fillId="0" borderId="33" xfId="5" applyNumberFormat="1" applyFont="1" applyBorder="1" applyAlignment="1">
      <alignment vertical="center"/>
    </xf>
    <xf numFmtId="178" fontId="5" fillId="0" borderId="35" xfId="5" applyNumberFormat="1" applyFont="1" applyBorder="1" applyAlignment="1">
      <alignment vertical="center"/>
    </xf>
    <xf numFmtId="178" fontId="5" fillId="0" borderId="34" xfId="5" applyNumberFormat="1" applyFont="1" applyBorder="1" applyAlignment="1">
      <alignment horizontal="center" vertical="center"/>
    </xf>
    <xf numFmtId="42" fontId="0" fillId="0" borderId="34" xfId="5" applyNumberFormat="1" applyFont="1" applyBorder="1" applyAlignment="1">
      <alignment horizontal="right" vertical="center"/>
    </xf>
    <xf numFmtId="42" fontId="0" fillId="0" borderId="33" xfId="5" applyNumberFormat="1" applyFont="1" applyBorder="1" applyAlignment="1">
      <alignment horizontal="right" vertical="center"/>
    </xf>
    <xf numFmtId="42" fontId="0" fillId="0" borderId="36" xfId="5" applyNumberFormat="1" applyFont="1" applyBorder="1" applyAlignment="1">
      <alignment horizontal="right" vertical="center"/>
    </xf>
    <xf numFmtId="176" fontId="5" fillId="0" borderId="12" xfId="5" applyNumberFormat="1" applyFont="1" applyBorder="1" applyAlignment="1">
      <alignment horizontal="center" vertical="center"/>
    </xf>
    <xf numFmtId="176" fontId="5" fillId="0" borderId="12" xfId="5" applyNumberFormat="1" applyFont="1" applyBorder="1" applyAlignment="1">
      <alignment horizontal="right" vertical="center"/>
    </xf>
    <xf numFmtId="176" fontId="5" fillId="0" borderId="52" xfId="5" applyNumberFormat="1" applyFont="1" applyBorder="1" applyAlignment="1">
      <alignment horizontal="right" vertical="center"/>
    </xf>
    <xf numFmtId="176" fontId="5" fillId="0" borderId="11" xfId="5" applyNumberFormat="1" applyFont="1" applyBorder="1" applyAlignment="1">
      <alignment horizontal="right" vertical="center"/>
    </xf>
    <xf numFmtId="176" fontId="0" fillId="0" borderId="49" xfId="5" applyNumberFormat="1" applyFont="1" applyBorder="1" applyAlignment="1">
      <alignment horizontal="right" vertical="center"/>
    </xf>
    <xf numFmtId="178" fontId="5" fillId="0" borderId="14" xfId="5" applyNumberFormat="1" applyFont="1" applyBorder="1" applyAlignment="1">
      <alignment horizontal="center" vertical="center"/>
    </xf>
    <xf numFmtId="176" fontId="5" fillId="0" borderId="14" xfId="5" applyNumberFormat="1" applyFont="1" applyBorder="1" applyAlignment="1">
      <alignment horizontal="center" vertical="center"/>
    </xf>
    <xf numFmtId="176" fontId="5" fillId="0" borderId="14" xfId="5" applyNumberFormat="1" applyFont="1" applyBorder="1" applyAlignment="1">
      <alignment horizontal="right" vertical="center"/>
    </xf>
    <xf numFmtId="176" fontId="5" fillId="0" borderId="22" xfId="5" applyNumberFormat="1" applyFont="1" applyBorder="1" applyAlignment="1">
      <alignment horizontal="right" vertical="center"/>
    </xf>
    <xf numFmtId="176" fontId="5" fillId="0" borderId="13" xfId="5" applyNumberFormat="1" applyFont="1" applyBorder="1" applyAlignment="1">
      <alignment horizontal="right" vertical="center"/>
    </xf>
    <xf numFmtId="176" fontId="0" fillId="0" borderId="15" xfId="5" applyNumberFormat="1" applyFont="1" applyBorder="1" applyAlignment="1">
      <alignment horizontal="right" vertical="center"/>
    </xf>
    <xf numFmtId="178" fontId="5" fillId="0" borderId="18" xfId="5" applyNumberFormat="1" applyFont="1" applyBorder="1" applyAlignment="1">
      <alignment horizontal="center" vertical="center"/>
    </xf>
    <xf numFmtId="176" fontId="5" fillId="0" borderId="78" xfId="5" applyNumberFormat="1" applyFont="1" applyBorder="1" applyAlignment="1">
      <alignment horizontal="right" vertical="center"/>
    </xf>
    <xf numFmtId="42" fontId="5" fillId="0" borderId="12" xfId="5" applyNumberFormat="1" applyFont="1" applyBorder="1" applyAlignment="1">
      <alignment horizontal="right" vertical="center"/>
    </xf>
    <xf numFmtId="42" fontId="5" fillId="0" borderId="14" xfId="5" applyNumberFormat="1" applyFont="1" applyBorder="1" applyAlignment="1">
      <alignment horizontal="right" vertical="center"/>
    </xf>
    <xf numFmtId="42" fontId="5" fillId="0" borderId="18" xfId="5" applyNumberFormat="1" applyFont="1" applyBorder="1" applyAlignment="1">
      <alignment horizontal="right" vertical="center"/>
    </xf>
    <xf numFmtId="42" fontId="0" fillId="0" borderId="19" xfId="5" applyNumberFormat="1" applyFont="1" applyBorder="1" applyAlignment="1">
      <alignment horizontal="right" vertical="center"/>
    </xf>
    <xf numFmtId="176" fontId="5" fillId="0" borderId="52" xfId="5" applyNumberFormat="1" applyFont="1" applyBorder="1" applyAlignment="1">
      <alignment horizontal="center" vertical="center"/>
    </xf>
    <xf numFmtId="42" fontId="5" fillId="0" borderId="11" xfId="5" applyNumberFormat="1" applyFont="1" applyBorder="1" applyAlignment="1">
      <alignment horizontal="right" vertical="center"/>
    </xf>
    <xf numFmtId="176" fontId="5" fillId="0" borderId="67" xfId="5" applyNumberFormat="1" applyFont="1" applyBorder="1" applyAlignment="1">
      <alignment horizontal="right" vertical="center"/>
    </xf>
    <xf numFmtId="176" fontId="0" fillId="0" borderId="85" xfId="5" applyNumberFormat="1" applyFont="1" applyBorder="1" applyAlignment="1">
      <alignment horizontal="right" vertical="center"/>
    </xf>
    <xf numFmtId="178" fontId="5" fillId="0" borderId="22" xfId="5" applyNumberFormat="1" applyFont="1" applyBorder="1" applyAlignment="1">
      <alignment horizontal="center" vertical="center"/>
    </xf>
    <xf numFmtId="42" fontId="5" fillId="0" borderId="13" xfId="5" applyNumberFormat="1" applyFont="1" applyBorder="1" applyAlignment="1">
      <alignment horizontal="right" vertical="center"/>
    </xf>
    <xf numFmtId="178" fontId="5" fillId="0" borderId="14" xfId="5" applyNumberFormat="1" applyFont="1" applyBorder="1" applyAlignment="1">
      <alignment horizontal="right" vertical="center"/>
    </xf>
    <xf numFmtId="178" fontId="0" fillId="0" borderId="15" xfId="5" applyNumberFormat="1" applyFont="1" applyBorder="1" applyAlignment="1">
      <alignment horizontal="right" vertical="center"/>
    </xf>
    <xf numFmtId="176" fontId="5" fillId="0" borderId="22" xfId="5" applyNumberFormat="1" applyFont="1" applyBorder="1" applyAlignment="1">
      <alignment horizontal="center" vertical="center"/>
    </xf>
    <xf numFmtId="178" fontId="5" fillId="0" borderId="79" xfId="5" applyNumberFormat="1" applyFont="1" applyBorder="1" applyAlignment="1">
      <alignment horizontal="center" vertical="center"/>
    </xf>
    <xf numFmtId="178" fontId="5" fillId="0" borderId="17" xfId="5" applyNumberFormat="1" applyFont="1" applyBorder="1" applyAlignment="1">
      <alignment horizontal="center" vertical="center"/>
    </xf>
    <xf numFmtId="42" fontId="5" fillId="0" borderId="17" xfId="5" applyNumberFormat="1" applyFont="1" applyBorder="1" applyAlignment="1">
      <alignment horizontal="right" vertical="center"/>
    </xf>
    <xf numFmtId="42" fontId="5" fillId="0" borderId="34" xfId="5" applyNumberFormat="1" applyFont="1" applyBorder="1" applyAlignment="1">
      <alignment horizontal="right" vertical="center"/>
    </xf>
    <xf numFmtId="178" fontId="5" fillId="0" borderId="33" xfId="5" applyNumberFormat="1" applyFont="1" applyBorder="1" applyAlignment="1">
      <alignment horizontal="right" vertical="center"/>
    </xf>
    <xf numFmtId="178" fontId="0" fillId="0" borderId="36" xfId="5" applyNumberFormat="1" applyFont="1" applyBorder="1" applyAlignment="1">
      <alignment horizontal="right" vertical="center"/>
    </xf>
    <xf numFmtId="176" fontId="5" fillId="0" borderId="11" xfId="5" applyNumberFormat="1" applyFont="1" applyBorder="1" applyAlignment="1">
      <alignment horizontal="center" vertical="center"/>
    </xf>
    <xf numFmtId="42" fontId="0" fillId="0" borderId="11" xfId="5" applyNumberFormat="1" applyFont="1" applyBorder="1" applyAlignment="1">
      <alignment horizontal="right" vertical="center"/>
    </xf>
    <xf numFmtId="176" fontId="0" fillId="0" borderId="67" xfId="5" applyNumberFormat="1" applyFont="1" applyBorder="1" applyAlignment="1">
      <alignment horizontal="right" vertical="center"/>
    </xf>
    <xf numFmtId="176" fontId="0" fillId="0" borderId="14" xfId="5" applyNumberFormat="1" applyFont="1" applyBorder="1" applyAlignment="1">
      <alignment horizontal="right" vertical="center"/>
    </xf>
    <xf numFmtId="42" fontId="0" fillId="0" borderId="17" xfId="5" applyNumberFormat="1" applyFont="1" applyBorder="1" applyAlignment="1">
      <alignment horizontal="right" vertical="center"/>
    </xf>
    <xf numFmtId="0" fontId="5" fillId="0" borderId="12" xfId="5" applyFont="1" applyBorder="1" applyAlignment="1">
      <alignment horizontal="center" vertical="center"/>
    </xf>
    <xf numFmtId="176" fontId="0" fillId="0" borderId="11" xfId="5" applyNumberFormat="1" applyFont="1" applyBorder="1" applyAlignment="1">
      <alignment vertical="center"/>
    </xf>
    <xf numFmtId="178" fontId="0" fillId="0" borderId="13" xfId="5" applyNumberFormat="1" applyFont="1" applyBorder="1" applyAlignment="1">
      <alignment vertical="center"/>
    </xf>
    <xf numFmtId="176" fontId="0" fillId="0" borderId="13" xfId="5" applyNumberFormat="1" applyFont="1" applyBorder="1" applyAlignment="1">
      <alignment vertical="center"/>
    </xf>
    <xf numFmtId="0" fontId="5" fillId="0" borderId="46" xfId="5" applyFont="1" applyBorder="1" applyAlignment="1">
      <alignment horizontal="center" vertical="center"/>
    </xf>
    <xf numFmtId="177" fontId="5" fillId="0" borderId="46" xfId="5" applyNumberFormat="1" applyFont="1" applyBorder="1" applyAlignment="1">
      <alignment vertical="center"/>
    </xf>
    <xf numFmtId="177" fontId="5" fillId="0" borderId="70" xfId="5" applyNumberFormat="1" applyFont="1" applyBorder="1" applyAlignment="1">
      <alignment horizontal="center" vertical="center"/>
    </xf>
    <xf numFmtId="177" fontId="5" fillId="0" borderId="70" xfId="5" applyNumberFormat="1" applyFont="1" applyBorder="1" applyAlignment="1">
      <alignment vertical="center"/>
    </xf>
    <xf numFmtId="178" fontId="5" fillId="0" borderId="7" xfId="5" applyNumberFormat="1" applyFont="1" applyBorder="1" applyAlignment="1">
      <alignment vertical="center"/>
    </xf>
    <xf numFmtId="178" fontId="5" fillId="0" borderId="0" xfId="5" applyNumberFormat="1" applyFont="1" applyAlignment="1">
      <alignment vertical="center"/>
    </xf>
    <xf numFmtId="178" fontId="5" fillId="0" borderId="6" xfId="5" applyNumberFormat="1" applyFont="1" applyBorder="1" applyAlignment="1">
      <alignment vertical="center"/>
    </xf>
    <xf numFmtId="178" fontId="0" fillId="0" borderId="6" xfId="5" applyNumberFormat="1" applyFont="1" applyBorder="1" applyAlignment="1">
      <alignment vertical="center"/>
    </xf>
    <xf numFmtId="42" fontId="0" fillId="0" borderId="6" xfId="5" applyNumberFormat="1" applyFont="1" applyBorder="1" applyAlignment="1">
      <alignment horizontal="right" vertical="center"/>
    </xf>
    <xf numFmtId="176" fontId="5" fillId="0" borderId="67" xfId="5" applyNumberFormat="1" applyFont="1" applyBorder="1" applyAlignment="1">
      <alignment horizontal="center" vertical="center"/>
    </xf>
    <xf numFmtId="176" fontId="5" fillId="0" borderId="84" xfId="5" applyNumberFormat="1" applyFont="1" applyBorder="1" applyAlignment="1">
      <alignment horizontal="right" vertical="center"/>
    </xf>
    <xf numFmtId="176" fontId="0" fillId="0" borderId="78" xfId="5" applyNumberFormat="1" applyFont="1" applyBorder="1" applyAlignment="1">
      <alignment horizontal="right" vertical="center"/>
    </xf>
    <xf numFmtId="177" fontId="5" fillId="0" borderId="22" xfId="5" applyNumberFormat="1" applyFont="1" applyBorder="1" applyAlignment="1">
      <alignment horizontal="center" vertical="center"/>
    </xf>
    <xf numFmtId="176" fontId="0" fillId="0" borderId="13" xfId="5" applyNumberFormat="1" applyFont="1" applyBorder="1" applyAlignment="1">
      <alignment horizontal="right" vertical="center"/>
    </xf>
    <xf numFmtId="0" fontId="5" fillId="0" borderId="33" xfId="5" applyFont="1" applyBorder="1" applyAlignment="1">
      <alignment horizontal="center" vertical="center"/>
    </xf>
    <xf numFmtId="177" fontId="5" fillId="0" borderId="33" xfId="5" applyNumberFormat="1" applyFont="1" applyBorder="1" applyAlignment="1">
      <alignment vertical="center"/>
    </xf>
    <xf numFmtId="177" fontId="5" fillId="0" borderId="34" xfId="5" applyNumberFormat="1" applyFont="1" applyBorder="1" applyAlignment="1">
      <alignment horizontal="center" vertical="center"/>
    </xf>
    <xf numFmtId="177" fontId="5" fillId="0" borderId="33" xfId="5" applyNumberFormat="1" applyFont="1" applyBorder="1" applyAlignment="1">
      <alignment horizontal="center" vertical="center"/>
    </xf>
    <xf numFmtId="177" fontId="5" fillId="0" borderId="79" xfId="5" applyNumberFormat="1" applyFont="1" applyBorder="1" applyAlignment="1">
      <alignment horizontal="center" vertical="center"/>
    </xf>
    <xf numFmtId="178" fontId="0" fillId="0" borderId="17" xfId="5" applyNumberFormat="1" applyFont="1" applyBorder="1" applyAlignment="1">
      <alignment vertical="center"/>
    </xf>
    <xf numFmtId="177" fontId="5" fillId="0" borderId="12" xfId="5" applyNumberFormat="1" applyFont="1" applyBorder="1" applyAlignment="1">
      <alignment vertical="center"/>
    </xf>
    <xf numFmtId="177" fontId="5" fillId="0" borderId="11" xfId="5" applyNumberFormat="1" applyFont="1" applyBorder="1" applyAlignment="1">
      <alignment horizontal="center" vertical="center"/>
    </xf>
    <xf numFmtId="177" fontId="5" fillId="0" borderId="12" xfId="5" applyNumberFormat="1" applyFont="1" applyBorder="1" applyAlignment="1">
      <alignment horizontal="center" vertical="center"/>
    </xf>
    <xf numFmtId="0" fontId="5" fillId="0" borderId="26" xfId="5" applyFont="1" applyBorder="1" applyAlignment="1">
      <alignment horizontal="center" vertical="center"/>
    </xf>
    <xf numFmtId="177" fontId="5" fillId="0" borderId="26" xfId="5" applyNumberFormat="1" applyFont="1" applyBorder="1" applyAlignment="1">
      <alignment vertical="center"/>
    </xf>
    <xf numFmtId="177" fontId="5" fillId="0" borderId="28" xfId="5" applyNumberFormat="1" applyFont="1" applyBorder="1" applyAlignment="1">
      <alignment horizontal="center" vertical="center"/>
    </xf>
    <xf numFmtId="177" fontId="5" fillId="0" borderId="26" xfId="5" applyNumberFormat="1" applyFont="1" applyBorder="1" applyAlignment="1">
      <alignment horizontal="center" vertical="center"/>
    </xf>
    <xf numFmtId="177" fontId="5" fillId="0" borderId="24" xfId="5" applyNumberFormat="1" applyFont="1" applyBorder="1" applyAlignment="1">
      <alignment horizontal="center" vertical="center"/>
    </xf>
    <xf numFmtId="178" fontId="5" fillId="0" borderId="25" xfId="5" applyNumberFormat="1" applyFont="1" applyBorder="1" applyAlignment="1">
      <alignment vertical="center"/>
    </xf>
    <xf numFmtId="178" fontId="5" fillId="0" borderId="25" xfId="5" applyNumberFormat="1" applyFont="1" applyBorder="1" applyAlignment="1">
      <alignment horizontal="center" vertical="center"/>
    </xf>
    <xf numFmtId="42" fontId="0" fillId="0" borderId="25" xfId="5" applyNumberFormat="1" applyFont="1" applyBorder="1" applyAlignment="1">
      <alignment horizontal="right" vertical="center"/>
    </xf>
    <xf numFmtId="42" fontId="0" fillId="0" borderId="24" xfId="5" applyNumberFormat="1" applyFont="1" applyBorder="1" applyAlignment="1">
      <alignment horizontal="right" vertical="center"/>
    </xf>
    <xf numFmtId="42" fontId="0" fillId="0" borderId="69" xfId="5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1" fillId="0" borderId="0" xfId="2" applyAlignment="1">
      <alignment vertical="center"/>
    </xf>
    <xf numFmtId="0" fontId="2" fillId="0" borderId="0" xfId="2" applyFont="1" applyAlignment="1">
      <alignment vertical="center"/>
    </xf>
    <xf numFmtId="0" fontId="5" fillId="0" borderId="0" xfId="2" applyFont="1" applyAlignment="1">
      <alignment horizontal="right" vertical="center"/>
    </xf>
    <xf numFmtId="0" fontId="5" fillId="0" borderId="18" xfId="2" applyFont="1" applyBorder="1" applyAlignment="1">
      <alignment horizontal="center" vertical="center"/>
    </xf>
    <xf numFmtId="0" fontId="5" fillId="0" borderId="83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79" xfId="2" applyFont="1" applyBorder="1" applyAlignment="1">
      <alignment horizontal="center" vertical="center"/>
    </xf>
    <xf numFmtId="0" fontId="0" fillId="0" borderId="18" xfId="2" applyFont="1" applyBorder="1" applyAlignment="1">
      <alignment horizontal="center" vertical="center"/>
    </xf>
    <xf numFmtId="0" fontId="0" fillId="0" borderId="19" xfId="2" applyFont="1" applyBorder="1" applyAlignment="1">
      <alignment horizontal="center" vertical="center"/>
    </xf>
    <xf numFmtId="0" fontId="8" fillId="0" borderId="87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176" fontId="5" fillId="0" borderId="48" xfId="2" applyNumberFormat="1" applyFont="1" applyBorder="1" applyAlignment="1">
      <alignment vertical="center"/>
    </xf>
    <xf numFmtId="176" fontId="5" fillId="0" borderId="56" xfId="2" applyNumberFormat="1" applyFont="1" applyBorder="1" applyAlignment="1">
      <alignment vertical="center"/>
    </xf>
    <xf numFmtId="176" fontId="0" fillId="0" borderId="49" xfId="2" applyNumberFormat="1" applyFont="1" applyBorder="1" applyAlignment="1">
      <alignment vertical="center"/>
    </xf>
    <xf numFmtId="0" fontId="8" fillId="0" borderId="53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41" fontId="5" fillId="0" borderId="46" xfId="2" applyNumberFormat="1" applyFont="1" applyBorder="1" applyAlignment="1">
      <alignment horizontal="right" vertical="center"/>
    </xf>
    <xf numFmtId="41" fontId="5" fillId="0" borderId="45" xfId="2" applyNumberFormat="1" applyFont="1" applyBorder="1" applyAlignment="1">
      <alignment horizontal="right" vertical="center"/>
    </xf>
    <xf numFmtId="41" fontId="5" fillId="0" borderId="70" xfId="2" applyNumberFormat="1" applyFont="1" applyBorder="1" applyAlignment="1">
      <alignment horizontal="right" vertical="center"/>
    </xf>
    <xf numFmtId="41" fontId="5" fillId="0" borderId="47" xfId="2" applyNumberFormat="1" applyFont="1" applyBorder="1" applyAlignment="1">
      <alignment horizontal="right" vertical="center"/>
    </xf>
    <xf numFmtId="176" fontId="5" fillId="0" borderId="14" xfId="2" applyNumberFormat="1" applyFont="1" applyBorder="1" applyAlignment="1">
      <alignment horizontal="right" vertical="center"/>
    </xf>
    <xf numFmtId="176" fontId="5" fillId="0" borderId="51" xfId="2" applyNumberFormat="1" applyFont="1" applyBorder="1" applyAlignment="1">
      <alignment horizontal="right" vertical="center"/>
    </xf>
    <xf numFmtId="176" fontId="5" fillId="0" borderId="22" xfId="2" applyNumberFormat="1" applyFont="1" applyBorder="1" applyAlignment="1">
      <alignment horizontal="right" vertical="center"/>
    </xf>
    <xf numFmtId="176" fontId="0" fillId="0" borderId="14" xfId="2" applyNumberFormat="1" applyFont="1" applyBorder="1" applyAlignment="1">
      <alignment horizontal="right" vertical="center"/>
    </xf>
    <xf numFmtId="176" fontId="0" fillId="0" borderId="1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11" fillId="0" borderId="46" xfId="2" applyFont="1" applyBorder="1" applyAlignment="1">
      <alignment vertical="center"/>
    </xf>
    <xf numFmtId="176" fontId="5" fillId="0" borderId="51" xfId="2" applyNumberFormat="1" applyFont="1" applyBorder="1" applyAlignment="1">
      <alignment vertical="center"/>
    </xf>
    <xf numFmtId="176" fontId="7" fillId="0" borderId="14" xfId="2" applyNumberFormat="1" applyFont="1" applyBorder="1" applyAlignment="1">
      <alignment horizontal="right" vertical="center"/>
    </xf>
    <xf numFmtId="176" fontId="7" fillId="0" borderId="15" xfId="2" applyNumberFormat="1" applyFont="1" applyBorder="1" applyAlignment="1">
      <alignment horizontal="right" vertical="center"/>
    </xf>
    <xf numFmtId="0" fontId="11" fillId="0" borderId="14" xfId="2" applyFont="1" applyBorder="1" applyAlignment="1">
      <alignment vertical="center" wrapText="1" shrinkToFit="1"/>
    </xf>
    <xf numFmtId="0" fontId="5" fillId="0" borderId="14" xfId="2" applyFont="1" applyBorder="1" applyAlignment="1">
      <alignment vertical="center" shrinkToFit="1"/>
    </xf>
    <xf numFmtId="0" fontId="8" fillId="0" borderId="68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176" fontId="5" fillId="0" borderId="45" xfId="2" applyNumberFormat="1" applyFont="1" applyBorder="1" applyAlignment="1">
      <alignment vertical="center"/>
    </xf>
    <xf numFmtId="176" fontId="5" fillId="0" borderId="70" xfId="2" applyNumberFormat="1" applyFont="1" applyBorder="1" applyAlignment="1">
      <alignment vertical="center"/>
    </xf>
    <xf numFmtId="176" fontId="5" fillId="0" borderId="47" xfId="2" applyNumberFormat="1" applyFont="1" applyBorder="1" applyAlignment="1">
      <alignment vertical="center"/>
    </xf>
    <xf numFmtId="176" fontId="0" fillId="0" borderId="15" xfId="2" applyNumberFormat="1" applyFont="1" applyBorder="1" applyAlignment="1">
      <alignment vertical="center"/>
    </xf>
    <xf numFmtId="41" fontId="5" fillId="0" borderId="12" xfId="2" applyNumberFormat="1" applyFont="1" applyBorder="1" applyAlignment="1">
      <alignment horizontal="right" vertical="center"/>
    </xf>
    <xf numFmtId="41" fontId="5" fillId="0" borderId="14" xfId="2" applyNumberFormat="1" applyFont="1" applyBorder="1" applyAlignment="1">
      <alignment horizontal="right" vertical="center"/>
    </xf>
    <xf numFmtId="41" fontId="5" fillId="0" borderId="14" xfId="2" applyNumberFormat="1" applyFont="1" applyBorder="1" applyAlignment="1">
      <alignment vertical="center"/>
    </xf>
    <xf numFmtId="41" fontId="5" fillId="0" borderId="13" xfId="2" applyNumberFormat="1" applyFont="1" applyBorder="1" applyAlignment="1">
      <alignment vertical="center"/>
    </xf>
    <xf numFmtId="41" fontId="5" fillId="0" borderId="51" xfId="2" applyNumberFormat="1" applyFont="1" applyBorder="1" applyAlignment="1">
      <alignment horizontal="right" vertical="center"/>
    </xf>
    <xf numFmtId="41" fontId="5" fillId="0" borderId="22" xfId="2" applyNumberFormat="1" applyFont="1" applyBorder="1" applyAlignment="1">
      <alignment horizontal="right" vertical="center"/>
    </xf>
    <xf numFmtId="177" fontId="5" fillId="0" borderId="26" xfId="2" applyNumberFormat="1" applyFont="1" applyBorder="1" applyAlignment="1">
      <alignment vertical="center"/>
    </xf>
    <xf numFmtId="177" fontId="5" fillId="0" borderId="24" xfId="2" applyNumberFormat="1" applyFont="1" applyBorder="1" applyAlignment="1">
      <alignment vertical="center"/>
    </xf>
    <xf numFmtId="177" fontId="5" fillId="0" borderId="58" xfId="2" applyNumberFormat="1" applyFont="1" applyBorder="1" applyAlignment="1">
      <alignment vertical="center"/>
    </xf>
    <xf numFmtId="177" fontId="5" fillId="0" borderId="25" xfId="2" applyNumberFormat="1" applyFont="1" applyBorder="1" applyAlignment="1">
      <alignment vertical="center"/>
    </xf>
    <xf numFmtId="177" fontId="5" fillId="0" borderId="54" xfId="2" applyNumberFormat="1" applyFont="1" applyBorder="1" applyAlignment="1">
      <alignment vertical="center"/>
    </xf>
    <xf numFmtId="178" fontId="5" fillId="0" borderId="54" xfId="2" applyNumberFormat="1" applyFont="1" applyBorder="1" applyAlignment="1">
      <alignment vertical="center"/>
    </xf>
    <xf numFmtId="178" fontId="0" fillId="0" borderId="26" xfId="2" applyNumberFormat="1" applyFont="1" applyBorder="1" applyAlignment="1">
      <alignment vertical="center"/>
    </xf>
    <xf numFmtId="178" fontId="0" fillId="0" borderId="29" xfId="2" applyNumberFormat="1" applyFont="1" applyBorder="1" applyAlignment="1">
      <alignment vertical="center"/>
    </xf>
    <xf numFmtId="0" fontId="5" fillId="0" borderId="0" xfId="2" applyFont="1" applyAlignment="1">
      <alignment horizontal="center" vertical="center"/>
    </xf>
    <xf numFmtId="177" fontId="5" fillId="0" borderId="0" xfId="2" applyNumberFormat="1" applyFont="1" applyAlignment="1">
      <alignment vertical="center"/>
    </xf>
    <xf numFmtId="178" fontId="5" fillId="0" borderId="0" xfId="2" applyNumberFormat="1" applyFont="1" applyAlignment="1">
      <alignment vertical="center"/>
    </xf>
    <xf numFmtId="0" fontId="5" fillId="0" borderId="27" xfId="2" applyFont="1" applyBorder="1" applyAlignment="1">
      <alignment horizontal="right" vertical="center"/>
    </xf>
    <xf numFmtId="0" fontId="8" fillId="0" borderId="80" xfId="2" applyFont="1" applyBorder="1" applyAlignment="1">
      <alignment vertical="center"/>
    </xf>
    <xf numFmtId="176" fontId="5" fillId="0" borderId="67" xfId="2" applyNumberFormat="1" applyFont="1" applyBorder="1" applyAlignment="1">
      <alignment vertical="center"/>
    </xf>
    <xf numFmtId="176" fontId="5" fillId="0" borderId="78" xfId="2" applyNumberFormat="1" applyFont="1" applyBorder="1" applyAlignment="1">
      <alignment vertical="center"/>
    </xf>
    <xf numFmtId="41" fontId="5" fillId="0" borderId="13" xfId="2" applyNumberFormat="1" applyFont="1" applyBorder="1" applyAlignment="1">
      <alignment horizontal="right" vertical="center"/>
    </xf>
    <xf numFmtId="176" fontId="5" fillId="2" borderId="14" xfId="2" applyNumberFormat="1" applyFont="1" applyFill="1" applyBorder="1" applyAlignment="1">
      <alignment horizontal="right" vertical="center"/>
    </xf>
    <xf numFmtId="176" fontId="5" fillId="2" borderId="51" xfId="2" applyNumberFormat="1" applyFont="1" applyFill="1" applyBorder="1" applyAlignment="1">
      <alignment horizontal="right" vertical="center"/>
    </xf>
    <xf numFmtId="176" fontId="5" fillId="2" borderId="22" xfId="2" applyNumberFormat="1" applyFont="1" applyFill="1" applyBorder="1" applyAlignment="1">
      <alignment horizontal="right" vertical="center"/>
    </xf>
    <xf numFmtId="0" fontId="11" fillId="0" borderId="14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8" fillId="0" borderId="64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176" fontId="5" fillId="3" borderId="14" xfId="2" applyNumberFormat="1" applyFont="1" applyFill="1" applyBorder="1" applyAlignment="1">
      <alignment vertical="center"/>
    </xf>
    <xf numFmtId="0" fontId="11" fillId="0" borderId="53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41" fontId="5" fillId="0" borderId="12" xfId="2" applyNumberFormat="1" applyFont="1" applyBorder="1" applyAlignment="1">
      <alignment vertical="center"/>
    </xf>
    <xf numFmtId="41" fontId="5" fillId="0" borderId="11" xfId="2" applyNumberFormat="1" applyFont="1" applyBorder="1" applyAlignment="1">
      <alignment horizontal="right" vertical="center"/>
    </xf>
    <xf numFmtId="0" fontId="8" fillId="0" borderId="14" xfId="2" applyFont="1" applyBorder="1" applyAlignment="1">
      <alignment vertical="center" wrapText="1"/>
    </xf>
    <xf numFmtId="0" fontId="5" fillId="0" borderId="13" xfId="3" applyFont="1" applyBorder="1" applyAlignment="1">
      <alignment horizontal="center" vertical="center"/>
    </xf>
    <xf numFmtId="0" fontId="5" fillId="0" borderId="46" xfId="3" applyFont="1" applyBorder="1" applyAlignment="1">
      <alignment horizontal="center"/>
    </xf>
    <xf numFmtId="0" fontId="5" fillId="0" borderId="48" xfId="3" applyFont="1" applyBorder="1" applyAlignment="1">
      <alignment horizontal="center"/>
    </xf>
    <xf numFmtId="0" fontId="5" fillId="0" borderId="45" xfId="3" applyFont="1" applyBorder="1" applyAlignment="1">
      <alignment horizontal="center"/>
    </xf>
    <xf numFmtId="0" fontId="5" fillId="0" borderId="0" xfId="3" applyFont="1" applyAlignment="1">
      <alignment horizontal="center"/>
    </xf>
    <xf numFmtId="0" fontId="5" fillId="0" borderId="7" xfId="3" applyFont="1" applyBorder="1" applyAlignment="1">
      <alignment horizontal="center"/>
    </xf>
    <xf numFmtId="0" fontId="5" fillId="0" borderId="9" xfId="3" applyFont="1" applyBorder="1" applyAlignment="1">
      <alignment horizontal="center"/>
    </xf>
    <xf numFmtId="0" fontId="5" fillId="0" borderId="10" xfId="3" applyFont="1" applyBorder="1" applyAlignment="1">
      <alignment vertical="center"/>
    </xf>
    <xf numFmtId="0" fontId="5" fillId="0" borderId="7" xfId="3" applyFont="1" applyBorder="1" applyAlignment="1">
      <alignment vertical="center"/>
    </xf>
    <xf numFmtId="0" fontId="5" fillId="0" borderId="7" xfId="3" applyFont="1" applyBorder="1"/>
    <xf numFmtId="0" fontId="5" fillId="0" borderId="46" xfId="3" applyFont="1" applyBorder="1"/>
    <xf numFmtId="0" fontId="5" fillId="0" borderId="6" xfId="3" applyFont="1" applyBorder="1"/>
    <xf numFmtId="0" fontId="5" fillId="0" borderId="48" xfId="3" applyFont="1" applyBorder="1"/>
    <xf numFmtId="0" fontId="5" fillId="0" borderId="9" xfId="3" applyFont="1" applyBorder="1"/>
    <xf numFmtId="41" fontId="5" fillId="0" borderId="7" xfId="3" applyNumberFormat="1" applyFont="1" applyBorder="1" applyAlignment="1">
      <alignment horizontal="right" vertical="center"/>
    </xf>
    <xf numFmtId="41" fontId="5" fillId="0" borderId="6" xfId="3" applyNumberFormat="1" applyFont="1" applyBorder="1" applyAlignment="1">
      <alignment horizontal="right" vertical="center"/>
    </xf>
    <xf numFmtId="0" fontId="5" fillId="0" borderId="12" xfId="3" applyFont="1" applyBorder="1" applyAlignment="1">
      <alignment vertical="center"/>
    </xf>
    <xf numFmtId="0" fontId="5" fillId="0" borderId="55" xfId="3" applyFont="1" applyBorder="1" applyAlignment="1">
      <alignment vertical="center"/>
    </xf>
    <xf numFmtId="41" fontId="5" fillId="0" borderId="13" xfId="3" applyNumberFormat="1" applyFont="1" applyBorder="1"/>
    <xf numFmtId="41" fontId="5" fillId="0" borderId="14" xfId="3" applyNumberFormat="1" applyFont="1" applyBorder="1"/>
    <xf numFmtId="41" fontId="5" fillId="0" borderId="12" xfId="3" applyNumberFormat="1" applyFont="1" applyBorder="1"/>
    <xf numFmtId="176" fontId="5" fillId="0" borderId="46" xfId="3" applyNumberFormat="1" applyFont="1" applyBorder="1"/>
    <xf numFmtId="176" fontId="5" fillId="0" borderId="45" xfId="3" applyNumberFormat="1" applyFont="1" applyBorder="1"/>
    <xf numFmtId="176" fontId="5" fillId="0" borderId="47" xfId="3" applyNumberFormat="1" applyFont="1" applyBorder="1"/>
    <xf numFmtId="176" fontId="5" fillId="0" borderId="66" xfId="3" applyNumberFormat="1" applyFont="1" applyBorder="1"/>
    <xf numFmtId="176" fontId="5" fillId="0" borderId="12" xfId="3" applyNumberFormat="1" applyFont="1" applyBorder="1"/>
    <xf numFmtId="176" fontId="5" fillId="0" borderId="7" xfId="3" applyNumberFormat="1" applyFont="1" applyBorder="1"/>
    <xf numFmtId="41" fontId="5" fillId="0" borderId="12" xfId="3" applyNumberFormat="1" applyFont="1" applyBorder="1" applyAlignment="1">
      <alignment horizontal="right" vertical="center"/>
    </xf>
    <xf numFmtId="176" fontId="5" fillId="0" borderId="56" xfId="3" applyNumberFormat="1" applyFont="1" applyBorder="1"/>
    <xf numFmtId="176" fontId="5" fillId="0" borderId="52" xfId="3" applyNumberFormat="1" applyFont="1" applyBorder="1"/>
    <xf numFmtId="176" fontId="5" fillId="0" borderId="49" xfId="3" applyNumberFormat="1" applyFont="1" applyBorder="1"/>
    <xf numFmtId="176" fontId="5" fillId="0" borderId="14" xfId="3" applyNumberFormat="1" applyFont="1" applyBorder="1"/>
    <xf numFmtId="176" fontId="5" fillId="0" borderId="13" xfId="3" applyNumberFormat="1" applyFont="1" applyBorder="1"/>
    <xf numFmtId="176" fontId="5" fillId="0" borderId="51" xfId="3" applyNumberFormat="1" applyFont="1" applyBorder="1"/>
    <xf numFmtId="176" fontId="5" fillId="0" borderId="22" xfId="3" applyNumberFormat="1" applyFont="1" applyBorder="1"/>
    <xf numFmtId="176" fontId="5" fillId="0" borderId="15" xfId="3" applyNumberFormat="1" applyFont="1" applyBorder="1"/>
    <xf numFmtId="0" fontId="5" fillId="0" borderId="53" xfId="3" applyFont="1" applyBorder="1" applyAlignment="1">
      <alignment vertical="center"/>
    </xf>
    <xf numFmtId="0" fontId="5" fillId="0" borderId="14" xfId="3" applyFont="1" applyBorder="1" applyAlignment="1">
      <alignment vertical="center"/>
    </xf>
    <xf numFmtId="41" fontId="5" fillId="0" borderId="7" xfId="3" applyNumberFormat="1" applyFont="1" applyBorder="1"/>
    <xf numFmtId="41" fontId="5" fillId="0" borderId="70" xfId="3" applyNumberFormat="1" applyFont="1" applyBorder="1"/>
    <xf numFmtId="41" fontId="5" fillId="0" borderId="46" xfId="3" applyNumberFormat="1" applyFont="1" applyBorder="1"/>
    <xf numFmtId="41" fontId="5" fillId="0" borderId="66" xfId="3" applyNumberFormat="1" applyFont="1" applyBorder="1"/>
    <xf numFmtId="0" fontId="5" fillId="0" borderId="46" xfId="3" applyFont="1" applyBorder="1" applyAlignment="1">
      <alignment vertical="center"/>
    </xf>
    <xf numFmtId="41" fontId="5" fillId="0" borderId="46" xfId="3" applyNumberFormat="1" applyFont="1" applyBorder="1" applyAlignment="1">
      <alignment horizontal="right"/>
    </xf>
    <xf numFmtId="176" fontId="5" fillId="0" borderId="70" xfId="3" applyNumberFormat="1" applyFont="1" applyBorder="1"/>
    <xf numFmtId="41" fontId="5" fillId="0" borderId="48" xfId="3" applyNumberFormat="1" applyFont="1" applyBorder="1"/>
    <xf numFmtId="41" fontId="5" fillId="0" borderId="7" xfId="3" applyNumberFormat="1" applyFont="1" applyBorder="1" applyAlignment="1">
      <alignment horizontal="right"/>
    </xf>
    <xf numFmtId="176" fontId="5" fillId="0" borderId="6" xfId="3" applyNumberFormat="1" applyFont="1" applyBorder="1"/>
    <xf numFmtId="41" fontId="5" fillId="0" borderId="6" xfId="3" applyNumberFormat="1" applyFont="1" applyBorder="1"/>
    <xf numFmtId="41" fontId="5" fillId="0" borderId="9" xfId="3" applyNumberFormat="1" applyFont="1" applyBorder="1"/>
    <xf numFmtId="41" fontId="5" fillId="0" borderId="12" xfId="3" applyNumberFormat="1" applyFont="1" applyBorder="1" applyAlignment="1">
      <alignment horizontal="right"/>
    </xf>
    <xf numFmtId="176" fontId="5" fillId="0" borderId="11" xfId="3" applyNumberFormat="1" applyFont="1" applyBorder="1"/>
    <xf numFmtId="176" fontId="5" fillId="0" borderId="12" xfId="3" applyNumberFormat="1" applyFont="1" applyBorder="1" applyAlignment="1">
      <alignment horizontal="right"/>
    </xf>
    <xf numFmtId="41" fontId="5" fillId="0" borderId="56" xfId="3" applyNumberFormat="1" applyFont="1" applyBorder="1"/>
    <xf numFmtId="41" fontId="5" fillId="0" borderId="11" xfId="3" applyNumberFormat="1" applyFont="1" applyBorder="1"/>
    <xf numFmtId="41" fontId="5" fillId="0" borderId="49" xfId="3" applyNumberFormat="1" applyFont="1" applyBorder="1" applyAlignment="1">
      <alignment horizontal="right"/>
    </xf>
    <xf numFmtId="41" fontId="5" fillId="0" borderId="14" xfId="3" applyNumberFormat="1" applyFont="1" applyBorder="1" applyAlignment="1">
      <alignment horizontal="right"/>
    </xf>
    <xf numFmtId="41" fontId="5" fillId="0" borderId="51" xfId="3" applyNumberFormat="1" applyFont="1" applyBorder="1"/>
    <xf numFmtId="41" fontId="5" fillId="0" borderId="22" xfId="3" applyNumberFormat="1" applyFont="1" applyBorder="1"/>
    <xf numFmtId="41" fontId="5" fillId="0" borderId="15" xfId="3" applyNumberFormat="1" applyFont="1" applyBorder="1"/>
    <xf numFmtId="0" fontId="5" fillId="0" borderId="44" xfId="3" applyFont="1" applyBorder="1" applyAlignment="1">
      <alignment vertical="center"/>
    </xf>
    <xf numFmtId="176" fontId="5" fillId="0" borderId="14" xfId="3" applyNumberFormat="1" applyFont="1" applyBorder="1" applyAlignment="1">
      <alignment horizontal="right"/>
    </xf>
    <xf numFmtId="176" fontId="5" fillId="0" borderId="22" xfId="3" applyNumberFormat="1" applyFont="1" applyBorder="1" applyAlignment="1">
      <alignment horizontal="right"/>
    </xf>
    <xf numFmtId="176" fontId="5" fillId="0" borderId="15" xfId="3" applyNumberFormat="1" applyFont="1" applyBorder="1" applyAlignment="1">
      <alignment horizontal="right"/>
    </xf>
    <xf numFmtId="0" fontId="5" fillId="0" borderId="68" xfId="3" applyFont="1" applyBorder="1" applyAlignment="1">
      <alignment vertical="center"/>
    </xf>
    <xf numFmtId="41" fontId="5" fillId="0" borderId="46" xfId="3" applyNumberFormat="1" applyFont="1" applyBorder="1" applyAlignment="1">
      <alignment horizontal="right" vertical="center"/>
    </xf>
    <xf numFmtId="41" fontId="5" fillId="0" borderId="70" xfId="3" applyNumberFormat="1" applyFont="1" applyBorder="1" applyAlignment="1">
      <alignment horizontal="right" vertical="center"/>
    </xf>
    <xf numFmtId="41" fontId="5" fillId="4" borderId="7" xfId="3" applyNumberFormat="1" applyFont="1" applyFill="1" applyBorder="1"/>
    <xf numFmtId="41" fontId="5" fillId="4" borderId="70" xfId="3" applyNumberFormat="1" applyFont="1" applyFill="1" applyBorder="1"/>
    <xf numFmtId="41" fontId="5" fillId="4" borderId="46" xfId="3" applyNumberFormat="1" applyFont="1" applyFill="1" applyBorder="1"/>
    <xf numFmtId="41" fontId="5" fillId="4" borderId="6" xfId="3" applyNumberFormat="1" applyFont="1" applyFill="1" applyBorder="1"/>
    <xf numFmtId="41" fontId="5" fillId="4" borderId="12" xfId="3" applyNumberFormat="1" applyFont="1" applyFill="1" applyBorder="1"/>
    <xf numFmtId="41" fontId="5" fillId="4" borderId="11" xfId="3" applyNumberFormat="1" applyFont="1" applyFill="1" applyBorder="1"/>
    <xf numFmtId="41" fontId="5" fillId="0" borderId="49" xfId="3" applyNumberFormat="1" applyFont="1" applyBorder="1"/>
    <xf numFmtId="0" fontId="5" fillId="0" borderId="50" xfId="3" applyFont="1" applyBorder="1" applyAlignment="1">
      <alignment vertical="center"/>
    </xf>
    <xf numFmtId="41" fontId="5" fillId="0" borderId="14" xfId="3" applyNumberFormat="1" applyFont="1" applyBorder="1" applyAlignment="1">
      <alignment horizontal="right" vertical="center"/>
    </xf>
    <xf numFmtId="41" fontId="5" fillId="0" borderId="13" xfId="3" applyNumberFormat="1" applyFont="1" applyBorder="1" applyAlignment="1">
      <alignment horizontal="right" vertical="center"/>
    </xf>
    <xf numFmtId="41" fontId="5" fillId="4" borderId="14" xfId="3" applyNumberFormat="1" applyFont="1" applyFill="1" applyBorder="1"/>
    <xf numFmtId="41" fontId="5" fillId="4" borderId="13" xfId="3" applyNumberFormat="1" applyFont="1" applyFill="1" applyBorder="1"/>
    <xf numFmtId="0" fontId="1" fillId="0" borderId="44" xfId="3" applyBorder="1" applyAlignment="1">
      <alignment vertical="center"/>
    </xf>
    <xf numFmtId="0" fontId="1" fillId="0" borderId="46" xfId="3" applyBorder="1" applyAlignment="1">
      <alignment vertical="center"/>
    </xf>
    <xf numFmtId="176" fontId="1" fillId="0" borderId="7" xfId="3" applyNumberFormat="1" applyBorder="1"/>
    <xf numFmtId="176" fontId="1" fillId="0" borderId="6" xfId="3" applyNumberFormat="1" applyBorder="1"/>
    <xf numFmtId="176" fontId="1" fillId="0" borderId="48" xfId="3" applyNumberFormat="1" applyBorder="1"/>
    <xf numFmtId="176" fontId="1" fillId="0" borderId="46" xfId="3" applyNumberFormat="1" applyBorder="1"/>
    <xf numFmtId="176" fontId="1" fillId="0" borderId="70" xfId="3" applyNumberFormat="1" applyBorder="1"/>
    <xf numFmtId="176" fontId="1" fillId="0" borderId="66" xfId="3" applyNumberFormat="1" applyBorder="1"/>
    <xf numFmtId="0" fontId="1" fillId="0" borderId="10" xfId="3" applyBorder="1" applyAlignment="1">
      <alignment horizontal="center" vertical="center"/>
    </xf>
    <xf numFmtId="0" fontId="1" fillId="0" borderId="7" xfId="3" applyBorder="1" applyAlignment="1">
      <alignment vertical="center"/>
    </xf>
    <xf numFmtId="176" fontId="1" fillId="0" borderId="9" xfId="3" applyNumberFormat="1" applyBorder="1"/>
    <xf numFmtId="0" fontId="1" fillId="0" borderId="10" xfId="3" applyBorder="1" applyAlignment="1">
      <alignment vertical="center"/>
    </xf>
    <xf numFmtId="41" fontId="1" fillId="0" borderId="7" xfId="3" applyNumberFormat="1" applyBorder="1"/>
    <xf numFmtId="0" fontId="13" fillId="0" borderId="7" xfId="3" applyFont="1" applyBorder="1" applyAlignment="1">
      <alignment vertical="center" wrapText="1" shrinkToFit="1"/>
    </xf>
    <xf numFmtId="41" fontId="1" fillId="0" borderId="7" xfId="3" applyNumberFormat="1" applyBorder="1" applyAlignment="1">
      <alignment horizontal="right" vertical="center"/>
    </xf>
    <xf numFmtId="41" fontId="1" fillId="0" borderId="6" xfId="3" applyNumberFormat="1" applyBorder="1" applyAlignment="1">
      <alignment horizontal="right" vertical="center"/>
    </xf>
    <xf numFmtId="41" fontId="1" fillId="0" borderId="6" xfId="3" applyNumberFormat="1" applyBorder="1"/>
    <xf numFmtId="41" fontId="1" fillId="0" borderId="48" xfId="3" applyNumberFormat="1" applyBorder="1"/>
    <xf numFmtId="41" fontId="1" fillId="0" borderId="9" xfId="3" applyNumberFormat="1" applyBorder="1"/>
    <xf numFmtId="41" fontId="1" fillId="0" borderId="0" xfId="3" applyNumberFormat="1"/>
    <xf numFmtId="41" fontId="1" fillId="0" borderId="7" xfId="3" applyNumberFormat="1" applyBorder="1" applyAlignment="1">
      <alignment horizontal="right"/>
    </xf>
    <xf numFmtId="41" fontId="1" fillId="0" borderId="6" xfId="3" applyNumberFormat="1" applyBorder="1" applyAlignment="1">
      <alignment horizontal="right"/>
    </xf>
    <xf numFmtId="41" fontId="1" fillId="0" borderId="9" xfId="3" applyNumberFormat="1" applyBorder="1" applyAlignment="1">
      <alignment horizontal="right"/>
    </xf>
    <xf numFmtId="176" fontId="1" fillId="0" borderId="7" xfId="3" applyNumberFormat="1" applyBorder="1" applyAlignment="1">
      <alignment horizontal="right"/>
    </xf>
    <xf numFmtId="0" fontId="1" fillId="0" borderId="6" xfId="3" applyBorder="1" applyAlignment="1">
      <alignment vertical="center"/>
    </xf>
    <xf numFmtId="0" fontId="14" fillId="0" borderId="7" xfId="3" applyFont="1" applyBorder="1" applyAlignment="1">
      <alignment vertical="center"/>
    </xf>
    <xf numFmtId="0" fontId="13" fillId="0" borderId="7" xfId="3" applyFont="1" applyBorder="1" applyAlignment="1">
      <alignment vertical="center"/>
    </xf>
    <xf numFmtId="176" fontId="1" fillId="0" borderId="14" xfId="3" applyNumberFormat="1" applyBorder="1" applyAlignment="1">
      <alignment vertical="center"/>
    </xf>
    <xf numFmtId="176" fontId="1" fillId="0" borderId="13" xfId="3" applyNumberFormat="1" applyBorder="1" applyAlignment="1">
      <alignment vertical="center"/>
    </xf>
    <xf numFmtId="176" fontId="1" fillId="0" borderId="15" xfId="3" applyNumberFormat="1" applyBorder="1" applyAlignment="1">
      <alignment vertical="center"/>
    </xf>
    <xf numFmtId="177" fontId="1" fillId="0" borderId="26" xfId="3" applyNumberFormat="1" applyBorder="1" applyAlignment="1">
      <alignment vertical="center"/>
    </xf>
    <xf numFmtId="177" fontId="1" fillId="0" borderId="28" xfId="3" applyNumberFormat="1" applyBorder="1" applyAlignment="1">
      <alignment vertical="center"/>
    </xf>
    <xf numFmtId="178" fontId="1" fillId="0" borderId="26" xfId="3" applyNumberFormat="1" applyBorder="1" applyAlignment="1">
      <alignment vertical="center"/>
    </xf>
    <xf numFmtId="178" fontId="1" fillId="0" borderId="27" xfId="3" applyNumberFormat="1" applyBorder="1" applyAlignment="1">
      <alignment vertical="center"/>
    </xf>
    <xf numFmtId="178" fontId="1" fillId="0" borderId="54" xfId="3" applyNumberFormat="1" applyBorder="1" applyAlignment="1">
      <alignment vertical="center"/>
    </xf>
    <xf numFmtId="178" fontId="1" fillId="0" borderId="28" xfId="3" applyNumberFormat="1" applyBorder="1" applyAlignment="1">
      <alignment vertical="center"/>
    </xf>
    <xf numFmtId="178" fontId="1" fillId="0" borderId="29" xfId="3" applyNumberFormat="1" applyBorder="1" applyAlignment="1">
      <alignment vertical="center"/>
    </xf>
    <xf numFmtId="0" fontId="2" fillId="0" borderId="0" xfId="6" applyFont="1" applyAlignment="1">
      <alignment vertical="center"/>
    </xf>
    <xf numFmtId="0" fontId="5" fillId="0" borderId="0" xfId="6" applyFont="1" applyAlignment="1">
      <alignment vertical="center"/>
    </xf>
    <xf numFmtId="0" fontId="0" fillId="0" borderId="0" xfId="6" applyFont="1" applyAlignment="1">
      <alignment vertical="center"/>
    </xf>
    <xf numFmtId="0" fontId="6" fillId="0" borderId="0" xfId="6" applyFont="1" applyAlignment="1">
      <alignment vertical="center"/>
    </xf>
    <xf numFmtId="0" fontId="5" fillId="0" borderId="0" xfId="6" applyFont="1" applyAlignment="1">
      <alignment horizontal="right"/>
    </xf>
    <xf numFmtId="0" fontId="5" fillId="0" borderId="12" xfId="6" applyFont="1" applyBorder="1" applyAlignment="1">
      <alignment horizontal="center" vertical="center"/>
    </xf>
    <xf numFmtId="0" fontId="5" fillId="0" borderId="49" xfId="6" applyFont="1" applyBorder="1" applyAlignment="1">
      <alignment horizontal="center" vertical="center"/>
    </xf>
    <xf numFmtId="0" fontId="5" fillId="0" borderId="44" xfId="6" applyFont="1" applyBorder="1" applyAlignment="1">
      <alignment horizontal="center" vertical="center"/>
    </xf>
    <xf numFmtId="0" fontId="5" fillId="0" borderId="46" xfId="6" applyFont="1" applyBorder="1" applyAlignment="1">
      <alignment horizontal="center" vertical="center"/>
    </xf>
    <xf numFmtId="176" fontId="5" fillId="0" borderId="46" xfId="6" applyNumberFormat="1" applyFont="1" applyBorder="1" applyAlignment="1">
      <alignment vertical="center"/>
    </xf>
    <xf numFmtId="177" fontId="5" fillId="0" borderId="46" xfId="6" applyNumberFormat="1" applyFont="1" applyBorder="1" applyAlignment="1">
      <alignment vertical="center"/>
    </xf>
    <xf numFmtId="177" fontId="5" fillId="0" borderId="7" xfId="6" applyNumberFormat="1" applyFont="1" applyBorder="1" applyAlignment="1">
      <alignment vertical="center"/>
    </xf>
    <xf numFmtId="177" fontId="5" fillId="0" borderId="66" xfId="6" applyNumberFormat="1" applyFont="1" applyBorder="1" applyAlignment="1">
      <alignment vertical="center"/>
    </xf>
    <xf numFmtId="0" fontId="5" fillId="0" borderId="10" xfId="6" applyFont="1" applyBorder="1" applyAlignment="1">
      <alignment horizontal="center" vertical="center"/>
    </xf>
    <xf numFmtId="0" fontId="5" fillId="0" borderId="7" xfId="6" applyFont="1" applyBorder="1" applyAlignment="1">
      <alignment horizontal="center" vertical="center"/>
    </xf>
    <xf numFmtId="176" fontId="5" fillId="0" borderId="7" xfId="6" applyNumberFormat="1" applyFont="1" applyBorder="1" applyAlignment="1">
      <alignment vertical="center"/>
    </xf>
    <xf numFmtId="177" fontId="5" fillId="0" borderId="9" xfId="6" applyNumberFormat="1" applyFont="1" applyBorder="1" applyAlignment="1">
      <alignment vertical="center"/>
    </xf>
    <xf numFmtId="181" fontId="5" fillId="0" borderId="14" xfId="6" applyNumberFormat="1" applyFont="1" applyBorder="1" applyAlignment="1">
      <alignment vertical="center"/>
    </xf>
    <xf numFmtId="181" fontId="5" fillId="0" borderId="15" xfId="6" applyNumberFormat="1" applyFont="1" applyBorder="1" applyAlignment="1">
      <alignment vertical="center"/>
    </xf>
    <xf numFmtId="0" fontId="5" fillId="0" borderId="68" xfId="6" applyFont="1" applyBorder="1" applyAlignment="1">
      <alignment horizontal="center" vertical="center"/>
    </xf>
    <xf numFmtId="0" fontId="5" fillId="0" borderId="55" xfId="6" applyFont="1" applyBorder="1" applyAlignment="1">
      <alignment horizontal="center" vertical="center"/>
    </xf>
    <xf numFmtId="0" fontId="5" fillId="0" borderId="14" xfId="6" applyFont="1" applyBorder="1" applyAlignment="1">
      <alignment horizontal="center" vertical="center"/>
    </xf>
    <xf numFmtId="176" fontId="5" fillId="0" borderId="14" xfId="6" applyNumberFormat="1" applyFont="1" applyBorder="1" applyAlignment="1">
      <alignment vertical="center"/>
    </xf>
    <xf numFmtId="177" fontId="5" fillId="0" borderId="14" xfId="6" applyNumberFormat="1" applyFont="1" applyBorder="1" applyAlignment="1">
      <alignment vertical="center"/>
    </xf>
    <xf numFmtId="177" fontId="5" fillId="0" borderId="15" xfId="6" applyNumberFormat="1" applyFont="1" applyBorder="1" applyAlignment="1">
      <alignment vertical="center"/>
    </xf>
    <xf numFmtId="0" fontId="5" fillId="0" borderId="5" xfId="6" applyFont="1" applyBorder="1" applyAlignment="1">
      <alignment horizontal="center" vertical="center"/>
    </xf>
    <xf numFmtId="177" fontId="5" fillId="0" borderId="72" xfId="6" applyNumberFormat="1" applyFont="1" applyBorder="1" applyAlignment="1">
      <alignment vertical="center"/>
    </xf>
    <xf numFmtId="176" fontId="5" fillId="0" borderId="12" xfId="6" applyNumberFormat="1" applyFont="1" applyBorder="1" applyAlignment="1">
      <alignment vertical="center"/>
    </xf>
    <xf numFmtId="177" fontId="5" fillId="0" borderId="49" xfId="6" applyNumberFormat="1" applyFont="1" applyBorder="1" applyAlignment="1">
      <alignment vertical="center"/>
    </xf>
    <xf numFmtId="178" fontId="5" fillId="0" borderId="46" xfId="6" applyNumberFormat="1" applyFont="1" applyBorder="1" applyAlignment="1">
      <alignment vertical="center"/>
    </xf>
    <xf numFmtId="178" fontId="5" fillId="0" borderId="72" xfId="6" applyNumberFormat="1" applyFont="1" applyBorder="1" applyAlignment="1">
      <alignment vertical="center"/>
    </xf>
    <xf numFmtId="178" fontId="5" fillId="0" borderId="12" xfId="6" applyNumberFormat="1" applyFont="1" applyBorder="1" applyAlignment="1">
      <alignment vertical="center"/>
    </xf>
    <xf numFmtId="178" fontId="5" fillId="0" borderId="73" xfId="6" applyNumberFormat="1" applyFont="1" applyBorder="1" applyAlignment="1">
      <alignment vertical="center"/>
    </xf>
    <xf numFmtId="178" fontId="5" fillId="0" borderId="7" xfId="6" applyNumberFormat="1" applyFont="1" applyBorder="1" applyAlignment="1">
      <alignment vertical="center"/>
    </xf>
    <xf numFmtId="178" fontId="5" fillId="0" borderId="15" xfId="6" applyNumberFormat="1" applyFont="1" applyBorder="1" applyAlignment="1">
      <alignment vertical="center"/>
    </xf>
    <xf numFmtId="178" fontId="5" fillId="0" borderId="74" xfId="6" applyNumberFormat="1" applyFont="1" applyBorder="1" applyAlignment="1">
      <alignment vertical="center"/>
    </xf>
    <xf numFmtId="178" fontId="5" fillId="0" borderId="66" xfId="6" applyNumberFormat="1" applyFont="1" applyBorder="1" applyAlignment="1">
      <alignment vertical="center"/>
    </xf>
    <xf numFmtId="178" fontId="5" fillId="0" borderId="49" xfId="6" applyNumberFormat="1" applyFont="1" applyBorder="1" applyAlignment="1">
      <alignment vertical="center"/>
    </xf>
    <xf numFmtId="0" fontId="0" fillId="0" borderId="46" xfId="6" applyFont="1" applyBorder="1" applyAlignment="1">
      <alignment horizontal="center" vertical="center"/>
    </xf>
    <xf numFmtId="176" fontId="0" fillId="0" borderId="46" xfId="6" applyNumberFormat="1" applyFont="1" applyBorder="1" applyAlignment="1">
      <alignment vertical="center"/>
    </xf>
    <xf numFmtId="178" fontId="0" fillId="0" borderId="46" xfId="6" applyNumberFormat="1" applyFont="1" applyBorder="1" applyAlignment="1">
      <alignment vertical="center"/>
    </xf>
    <xf numFmtId="178" fontId="0" fillId="0" borderId="66" xfId="6" applyNumberFormat="1" applyFont="1" applyBorder="1" applyAlignment="1">
      <alignment vertical="center"/>
    </xf>
    <xf numFmtId="0" fontId="7" fillId="0" borderId="0" xfId="6" applyFont="1" applyAlignment="1">
      <alignment vertical="center"/>
    </xf>
    <xf numFmtId="0" fontId="0" fillId="0" borderId="12" xfId="6" applyFont="1" applyBorder="1" applyAlignment="1">
      <alignment horizontal="center" vertical="center"/>
    </xf>
    <xf numFmtId="176" fontId="0" fillId="0" borderId="12" xfId="6" applyNumberFormat="1" applyFont="1" applyBorder="1" applyAlignment="1">
      <alignment vertical="center"/>
    </xf>
    <xf numFmtId="178" fontId="0" fillId="0" borderId="12" xfId="6" applyNumberFormat="1" applyFont="1" applyBorder="1" applyAlignment="1">
      <alignment vertical="center"/>
    </xf>
    <xf numFmtId="178" fontId="0" fillId="0" borderId="49" xfId="6" applyNumberFormat="1" applyFont="1" applyBorder="1" applyAlignment="1">
      <alignment vertical="center"/>
    </xf>
    <xf numFmtId="0" fontId="0" fillId="0" borderId="26" xfId="6" applyFont="1" applyBorder="1" applyAlignment="1">
      <alignment horizontal="center" vertical="center"/>
    </xf>
    <xf numFmtId="176" fontId="0" fillId="0" borderId="26" xfId="6" applyNumberFormat="1" applyFont="1" applyBorder="1" applyAlignment="1">
      <alignment vertical="center"/>
    </xf>
    <xf numFmtId="178" fontId="0" fillId="0" borderId="26" xfId="6" applyNumberFormat="1" applyFont="1" applyBorder="1" applyAlignment="1">
      <alignment vertical="center"/>
    </xf>
    <xf numFmtId="178" fontId="0" fillId="0" borderId="75" xfId="6" applyNumberFormat="1" applyFont="1" applyBorder="1" applyAlignment="1">
      <alignment vertical="center"/>
    </xf>
    <xf numFmtId="0" fontId="5" fillId="0" borderId="46" xfId="2" applyFont="1" applyBorder="1" applyAlignment="1">
      <alignment horizontal="center" vertical="center"/>
    </xf>
    <xf numFmtId="0" fontId="5" fillId="0" borderId="64" xfId="2" applyFont="1" applyBorder="1" applyAlignment="1">
      <alignment vertical="center"/>
    </xf>
    <xf numFmtId="0" fontId="5" fillId="0" borderId="68" xfId="2" applyFont="1" applyBorder="1" applyAlignment="1">
      <alignment vertical="center"/>
    </xf>
    <xf numFmtId="177" fontId="5" fillId="0" borderId="72" xfId="2" applyNumberFormat="1" applyFont="1" applyBorder="1" applyAlignment="1">
      <alignment vertical="center"/>
    </xf>
    <xf numFmtId="177" fontId="5" fillId="0" borderId="90" xfId="2" applyNumberFormat="1" applyFont="1" applyBorder="1" applyAlignment="1">
      <alignment vertical="center"/>
    </xf>
    <xf numFmtId="0" fontId="5" fillId="0" borderId="5" xfId="2" applyFont="1" applyBorder="1" applyAlignment="1">
      <alignment vertical="center"/>
    </xf>
    <xf numFmtId="176" fontId="0" fillId="0" borderId="48" xfId="2" applyNumberFormat="1" applyFont="1" applyBorder="1" applyAlignment="1">
      <alignment vertical="center"/>
    </xf>
    <xf numFmtId="176" fontId="0" fillId="0" borderId="45" xfId="2" applyNumberFormat="1" applyFont="1" applyBorder="1" applyAlignment="1">
      <alignment vertical="center"/>
    </xf>
    <xf numFmtId="177" fontId="0" fillId="0" borderId="74" xfId="2" applyNumberFormat="1" applyFont="1" applyBorder="1" applyAlignment="1">
      <alignment vertical="center"/>
    </xf>
    <xf numFmtId="176" fontId="0" fillId="0" borderId="51" xfId="2" applyNumberFormat="1" applyFont="1" applyBorder="1" applyAlignment="1">
      <alignment vertical="center"/>
    </xf>
    <xf numFmtId="177" fontId="0" fillId="0" borderId="90" xfId="2" applyNumberFormat="1" applyFont="1" applyBorder="1" applyAlignment="1">
      <alignment vertical="center"/>
    </xf>
    <xf numFmtId="0" fontId="0" fillId="0" borderId="91" xfId="2" applyFont="1" applyBorder="1" applyAlignment="1">
      <alignment vertical="center"/>
    </xf>
    <xf numFmtId="176" fontId="0" fillId="0" borderId="58" xfId="2" applyNumberFormat="1" applyFont="1" applyBorder="1" applyAlignment="1">
      <alignment vertical="center"/>
    </xf>
    <xf numFmtId="177" fontId="0" fillId="0" borderId="76" xfId="2" applyNumberFormat="1" applyFont="1" applyBorder="1" applyAlignment="1">
      <alignment vertical="center"/>
    </xf>
    <xf numFmtId="0" fontId="7" fillId="0" borderId="0" xfId="2" applyFont="1" applyAlignment="1">
      <alignment vertical="center"/>
    </xf>
    <xf numFmtId="0" fontId="5" fillId="0" borderId="30" xfId="2" applyFont="1" applyBorder="1" applyAlignment="1">
      <alignment vertical="center"/>
    </xf>
    <xf numFmtId="0" fontId="5" fillId="0" borderId="66" xfId="2" applyFont="1" applyBorder="1" applyAlignment="1">
      <alignment horizontal="center" vertical="center"/>
    </xf>
    <xf numFmtId="0" fontId="5" fillId="0" borderId="49" xfId="2" applyFont="1" applyBorder="1" applyAlignment="1">
      <alignment horizontal="center" vertical="center"/>
    </xf>
    <xf numFmtId="41" fontId="5" fillId="0" borderId="66" xfId="2" applyNumberFormat="1" applyFont="1" applyBorder="1" applyAlignment="1">
      <alignment horizontal="right" vertical="center"/>
    </xf>
    <xf numFmtId="41" fontId="5" fillId="0" borderId="15" xfId="2" applyNumberFormat="1" applyFont="1" applyBorder="1" applyAlignment="1">
      <alignment horizontal="right" vertical="center"/>
    </xf>
    <xf numFmtId="41" fontId="5" fillId="0" borderId="0" xfId="2" applyNumberFormat="1" applyFont="1" applyAlignment="1">
      <alignment horizontal="right" vertical="center"/>
    </xf>
    <xf numFmtId="41" fontId="5" fillId="0" borderId="72" xfId="2" applyNumberFormat="1" applyFont="1" applyBorder="1" applyAlignment="1">
      <alignment horizontal="right" vertical="center"/>
    </xf>
    <xf numFmtId="41" fontId="5" fillId="0" borderId="90" xfId="2" applyNumberFormat="1" applyFont="1" applyBorder="1" applyAlignment="1">
      <alignment horizontal="right" vertical="center"/>
    </xf>
    <xf numFmtId="41" fontId="5" fillId="0" borderId="48" xfId="2" applyNumberFormat="1" applyFont="1" applyBorder="1" applyAlignment="1">
      <alignment horizontal="right" vertical="center"/>
    </xf>
    <xf numFmtId="41" fontId="5" fillId="0" borderId="74" xfId="2" applyNumberFormat="1" applyFont="1" applyBorder="1" applyAlignment="1">
      <alignment horizontal="right" vertical="center"/>
    </xf>
    <xf numFmtId="41" fontId="7" fillId="0" borderId="59" xfId="2" applyNumberFormat="1" applyFont="1" applyBorder="1" applyAlignment="1">
      <alignment horizontal="right" vertical="center"/>
    </xf>
    <xf numFmtId="41" fontId="0" fillId="0" borderId="58" xfId="2" applyNumberFormat="1" applyFont="1" applyBorder="1" applyAlignment="1">
      <alignment horizontal="right" vertical="center"/>
    </xf>
    <xf numFmtId="41" fontId="0" fillId="0" borderId="76" xfId="2" applyNumberFormat="1" applyFont="1" applyBorder="1" applyAlignment="1">
      <alignment horizontal="right" vertical="center"/>
    </xf>
    <xf numFmtId="177" fontId="7" fillId="0" borderId="0" xfId="2" applyNumberFormat="1" applyFont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177" fontId="5" fillId="0" borderId="74" xfId="2" applyNumberFormat="1" applyFont="1" applyBorder="1" applyAlignment="1">
      <alignment vertical="center"/>
    </xf>
    <xf numFmtId="0" fontId="5" fillId="0" borderId="91" xfId="2" applyFont="1" applyBorder="1" applyAlignment="1">
      <alignment vertical="center"/>
    </xf>
    <xf numFmtId="42" fontId="5" fillId="0" borderId="12" xfId="4" applyNumberFormat="1" applyFont="1" applyBorder="1" applyAlignment="1">
      <alignment horizontal="right" vertical="center"/>
    </xf>
    <xf numFmtId="42" fontId="5" fillId="0" borderId="73" xfId="4" applyNumberFormat="1" applyFont="1" applyBorder="1" applyAlignment="1">
      <alignment horizontal="right" vertical="center"/>
    </xf>
    <xf numFmtId="42" fontId="0" fillId="0" borderId="12" xfId="4" applyNumberFormat="1" applyFont="1" applyBorder="1" applyAlignment="1">
      <alignment horizontal="right" vertical="center"/>
    </xf>
    <xf numFmtId="42" fontId="0" fillId="0" borderId="73" xfId="4" applyNumberFormat="1" applyFont="1" applyBorder="1" applyAlignment="1">
      <alignment horizontal="right" vertical="center"/>
    </xf>
    <xf numFmtId="42" fontId="5" fillId="0" borderId="14" xfId="2" applyNumberFormat="1" applyFont="1" applyBorder="1" applyAlignment="1">
      <alignment horizontal="right" vertical="center"/>
    </xf>
    <xf numFmtId="42" fontId="5" fillId="0" borderId="51" xfId="2" applyNumberFormat="1" applyFont="1" applyBorder="1" applyAlignment="1">
      <alignment horizontal="right" vertical="center"/>
    </xf>
    <xf numFmtId="42" fontId="5" fillId="0" borderId="22" xfId="2" applyNumberFormat="1" applyFont="1" applyBorder="1" applyAlignment="1">
      <alignment horizontal="right" vertical="center"/>
    </xf>
    <xf numFmtId="42" fontId="0" fillId="0" borderId="14" xfId="2" applyNumberFormat="1" applyFont="1" applyBorder="1" applyAlignment="1">
      <alignment horizontal="right" vertical="center"/>
    </xf>
    <xf numFmtId="42" fontId="0" fillId="0" borderId="15" xfId="2" applyNumberFormat="1" applyFont="1" applyBorder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0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5" fillId="0" borderId="20" xfId="1" applyFont="1" applyBorder="1" applyAlignment="1">
      <alignment vertical="center"/>
    </xf>
    <xf numFmtId="0" fontId="5" fillId="0" borderId="23" xfId="1" applyFont="1" applyBorder="1" applyAlignment="1">
      <alignment vertical="center"/>
    </xf>
    <xf numFmtId="0" fontId="5" fillId="0" borderId="53" xfId="2" applyFont="1" applyBorder="1" applyAlignment="1">
      <alignment horizontal="center" vertical="center"/>
    </xf>
    <xf numFmtId="0" fontId="5" fillId="0" borderId="51" xfId="2" applyFont="1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0" fontId="5" fillId="0" borderId="38" xfId="2" applyFont="1" applyBorder="1" applyAlignment="1">
      <alignment horizontal="center" vertical="center"/>
    </xf>
    <xf numFmtId="0" fontId="5" fillId="0" borderId="44" xfId="2" applyFont="1" applyBorder="1" applyAlignment="1">
      <alignment vertical="center"/>
    </xf>
    <xf numFmtId="0" fontId="5" fillId="0" borderId="45" xfId="2" applyFont="1" applyBorder="1" applyAlignment="1">
      <alignment vertical="center"/>
    </xf>
    <xf numFmtId="0" fontId="5" fillId="0" borderId="10" xfId="2" applyFont="1" applyBorder="1" applyAlignment="1">
      <alignment vertical="center"/>
    </xf>
    <xf numFmtId="0" fontId="5" fillId="0" borderId="48" xfId="2" applyFont="1" applyBorder="1" applyAlignment="1">
      <alignment vertical="center"/>
    </xf>
    <xf numFmtId="0" fontId="5" fillId="0" borderId="10" xfId="2" applyFont="1" applyBorder="1" applyAlignment="1">
      <alignment horizontal="right" vertical="center"/>
    </xf>
    <xf numFmtId="0" fontId="5" fillId="0" borderId="48" xfId="2" applyFont="1" applyBorder="1" applyAlignment="1">
      <alignment horizontal="right" vertical="center"/>
    </xf>
    <xf numFmtId="0" fontId="1" fillId="0" borderId="30" xfId="2" applyBorder="1" applyAlignment="1">
      <alignment horizontal="left" vertical="center"/>
    </xf>
    <xf numFmtId="0" fontId="5" fillId="0" borderId="23" xfId="2" applyFont="1" applyBorder="1" applyAlignment="1">
      <alignment horizontal="center" vertical="center"/>
    </xf>
    <xf numFmtId="0" fontId="5" fillId="0" borderId="54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5" fillId="0" borderId="45" xfId="2" applyFont="1" applyBorder="1" applyAlignment="1">
      <alignment horizontal="center" vertical="center"/>
    </xf>
    <xf numFmtId="0" fontId="5" fillId="0" borderId="55" xfId="2" applyFont="1" applyBorder="1" applyAlignment="1">
      <alignment horizontal="center" vertical="center"/>
    </xf>
    <xf numFmtId="0" fontId="5" fillId="0" borderId="56" xfId="2" applyFont="1" applyBorder="1" applyAlignment="1">
      <alignment horizontal="center" vertical="center"/>
    </xf>
    <xf numFmtId="0" fontId="5" fillId="0" borderId="57" xfId="2" applyFont="1" applyBorder="1" applyAlignment="1">
      <alignment horizontal="center" vertical="center"/>
    </xf>
    <xf numFmtId="0" fontId="5" fillId="0" borderId="58" xfId="2" applyFont="1" applyBorder="1" applyAlignment="1">
      <alignment horizontal="center" vertical="center"/>
    </xf>
    <xf numFmtId="0" fontId="5" fillId="0" borderId="60" xfId="3" applyFont="1" applyBorder="1" applyAlignment="1">
      <alignment horizontal="center" vertical="center"/>
    </xf>
    <xf numFmtId="0" fontId="5" fillId="0" borderId="64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65" xfId="3" applyFont="1" applyBorder="1" applyAlignment="1">
      <alignment horizontal="center" vertical="center"/>
    </xf>
    <xf numFmtId="0" fontId="5" fillId="0" borderId="67" xfId="3" applyFont="1" applyBorder="1" applyAlignment="1">
      <alignment horizontal="center" vertical="center"/>
    </xf>
    <xf numFmtId="0" fontId="5" fillId="0" borderId="61" xfId="3" applyFont="1" applyBorder="1" applyAlignment="1">
      <alignment horizontal="center" vertical="center"/>
    </xf>
    <xf numFmtId="0" fontId="5" fillId="0" borderId="62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63" xfId="3" applyFont="1" applyBorder="1" applyAlignment="1">
      <alignment horizontal="center" vertical="center"/>
    </xf>
    <xf numFmtId="0" fontId="5" fillId="0" borderId="46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/>
    </xf>
    <xf numFmtId="0" fontId="5" fillId="0" borderId="68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50" xfId="3" applyFont="1" applyBorder="1" applyAlignment="1">
      <alignment horizontal="center" vertical="center"/>
    </xf>
    <xf numFmtId="0" fontId="5" fillId="0" borderId="44" xfId="3" applyFont="1" applyBorder="1" applyAlignment="1">
      <alignment vertical="center"/>
    </xf>
    <xf numFmtId="0" fontId="5" fillId="0" borderId="10" xfId="3" applyFont="1" applyBorder="1" applyAlignment="1">
      <alignment vertical="center"/>
    </xf>
    <xf numFmtId="0" fontId="5" fillId="0" borderId="55" xfId="3" applyFont="1" applyBorder="1" applyAlignment="1">
      <alignment vertical="center"/>
    </xf>
    <xf numFmtId="0" fontId="5" fillId="0" borderId="14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5" fillId="0" borderId="64" xfId="2" applyFont="1" applyBorder="1" applyAlignment="1">
      <alignment horizontal="center" vertical="center"/>
    </xf>
    <xf numFmtId="0" fontId="5" fillId="0" borderId="46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60" xfId="2" applyFont="1" applyBorder="1" applyAlignment="1">
      <alignment horizontal="center" vertical="center"/>
    </xf>
    <xf numFmtId="0" fontId="5" fillId="0" borderId="40" xfId="2" applyFont="1" applyBorder="1" applyAlignment="1">
      <alignment horizontal="center" vertical="center"/>
    </xf>
    <xf numFmtId="0" fontId="5" fillId="0" borderId="43" xfId="2" applyFont="1" applyBorder="1" applyAlignment="1">
      <alignment horizontal="center" vertical="center"/>
    </xf>
    <xf numFmtId="0" fontId="5" fillId="0" borderId="68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50" xfId="2" applyFont="1" applyBorder="1" applyAlignment="1">
      <alignment horizontal="center" vertical="center"/>
    </xf>
    <xf numFmtId="0" fontId="5" fillId="0" borderId="70" xfId="2" applyFont="1" applyBorder="1" applyAlignment="1">
      <alignment horizontal="center" vertical="center"/>
    </xf>
    <xf numFmtId="0" fontId="5" fillId="0" borderId="45" xfId="2" applyFont="1" applyBorder="1"/>
    <xf numFmtId="0" fontId="5" fillId="0" borderId="11" xfId="2" applyFont="1" applyBorder="1" applyAlignment="1">
      <alignment horizontal="center" vertical="center"/>
    </xf>
    <xf numFmtId="0" fontId="0" fillId="0" borderId="68" xfId="2" applyFont="1" applyBorder="1" applyAlignment="1">
      <alignment horizontal="center" vertical="center"/>
    </xf>
    <xf numFmtId="0" fontId="0" fillId="0" borderId="5" xfId="2" applyFont="1" applyBorder="1" applyAlignment="1">
      <alignment horizontal="center" vertical="center"/>
    </xf>
    <xf numFmtId="0" fontId="0" fillId="0" borderId="71" xfId="2" applyFont="1" applyBorder="1" applyAlignment="1">
      <alignment horizontal="center" vertical="center"/>
    </xf>
    <xf numFmtId="0" fontId="0" fillId="0" borderId="25" xfId="2" applyFont="1" applyBorder="1" applyAlignment="1">
      <alignment horizontal="center" vertical="center"/>
    </xf>
    <xf numFmtId="0" fontId="0" fillId="0" borderId="58" xfId="2" applyFont="1" applyBorder="1" applyAlignment="1">
      <alignment horizontal="center" vertical="center"/>
    </xf>
    <xf numFmtId="0" fontId="5" fillId="0" borderId="53" xfId="4" applyFont="1" applyBorder="1" applyAlignment="1">
      <alignment horizontal="center" vertical="center"/>
    </xf>
    <xf numFmtId="0" fontId="5" fillId="0" borderId="37" xfId="4" applyFont="1" applyBorder="1" applyAlignment="1">
      <alignment horizontal="center" vertical="center"/>
    </xf>
    <xf numFmtId="0" fontId="5" fillId="0" borderId="40" xfId="4" applyFont="1" applyBorder="1" applyAlignment="1">
      <alignment horizontal="center" vertical="center"/>
    </xf>
    <xf numFmtId="0" fontId="5" fillId="0" borderId="14" xfId="4" applyFont="1" applyBorder="1" applyAlignment="1">
      <alignment horizontal="center" vertical="center"/>
    </xf>
    <xf numFmtId="0" fontId="5" fillId="0" borderId="43" xfId="4" applyFont="1" applyBorder="1" applyAlignment="1">
      <alignment horizontal="center" vertical="center"/>
    </xf>
    <xf numFmtId="0" fontId="5" fillId="0" borderId="64" xfId="4" applyFont="1" applyBorder="1" applyAlignment="1">
      <alignment horizontal="center" vertical="center"/>
    </xf>
    <xf numFmtId="0" fontId="5" fillId="0" borderId="44" xfId="4" applyFont="1" applyBorder="1" applyAlignment="1">
      <alignment horizontal="center" vertical="center"/>
    </xf>
    <xf numFmtId="0" fontId="5" fillId="0" borderId="68" xfId="4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0" fontId="5" fillId="0" borderId="50" xfId="4" applyFont="1" applyBorder="1" applyAlignment="1">
      <alignment horizontal="center" vertical="center"/>
    </xf>
    <xf numFmtId="0" fontId="0" fillId="0" borderId="68" xfId="4" applyFont="1" applyBorder="1" applyAlignment="1">
      <alignment horizontal="center" vertical="center"/>
    </xf>
    <xf numFmtId="0" fontId="0" fillId="0" borderId="5" xfId="4" applyFont="1" applyBorder="1" applyAlignment="1">
      <alignment horizontal="center" vertical="center"/>
    </xf>
    <xf numFmtId="0" fontId="0" fillId="0" borderId="71" xfId="4" applyFont="1" applyBorder="1" applyAlignment="1">
      <alignment horizontal="center" vertical="center"/>
    </xf>
    <xf numFmtId="176" fontId="0" fillId="0" borderId="25" xfId="4" applyNumberFormat="1" applyFont="1" applyBorder="1" applyAlignment="1">
      <alignment vertical="center"/>
    </xf>
    <xf numFmtId="0" fontId="0" fillId="0" borderId="76" xfId="4" applyFont="1" applyBorder="1" applyAlignment="1">
      <alignment vertical="center"/>
    </xf>
    <xf numFmtId="0" fontId="0" fillId="0" borderId="37" xfId="4" applyFont="1" applyBorder="1" applyAlignment="1">
      <alignment horizontal="center" vertical="center"/>
    </xf>
    <xf numFmtId="0" fontId="0" fillId="0" borderId="44" xfId="4" applyFont="1" applyBorder="1" applyAlignment="1">
      <alignment horizontal="center" vertical="center"/>
    </xf>
    <xf numFmtId="0" fontId="0" fillId="0" borderId="40" xfId="4" applyFont="1" applyBorder="1" applyAlignment="1">
      <alignment horizontal="center" vertical="center"/>
    </xf>
    <xf numFmtId="0" fontId="0" fillId="0" borderId="46" xfId="4" applyFont="1" applyBorder="1" applyAlignment="1">
      <alignment horizontal="center" vertical="center"/>
    </xf>
    <xf numFmtId="0" fontId="0" fillId="0" borderId="43" xfId="4" applyFont="1" applyBorder="1" applyAlignment="1">
      <alignment horizontal="center" vertical="center"/>
    </xf>
    <xf numFmtId="0" fontId="0" fillId="0" borderId="66" xfId="4" applyFont="1" applyBorder="1" applyAlignment="1">
      <alignment horizontal="center" vertical="center"/>
    </xf>
    <xf numFmtId="176" fontId="0" fillId="0" borderId="46" xfId="4" applyNumberFormat="1" applyFont="1" applyBorder="1" applyAlignment="1">
      <alignment vertical="center"/>
    </xf>
    <xf numFmtId="176" fontId="0" fillId="0" borderId="66" xfId="4" applyNumberFormat="1" applyFont="1" applyBorder="1" applyAlignment="1">
      <alignment vertical="center"/>
    </xf>
    <xf numFmtId="176" fontId="0" fillId="0" borderId="7" xfId="4" applyNumberFormat="1" applyFont="1" applyBorder="1" applyAlignment="1">
      <alignment vertical="center"/>
    </xf>
    <xf numFmtId="176" fontId="0" fillId="0" borderId="9" xfId="4" applyNumberFormat="1" applyFont="1" applyBorder="1" applyAlignment="1">
      <alignment vertical="center"/>
    </xf>
    <xf numFmtId="41" fontId="0" fillId="0" borderId="6" xfId="4" applyNumberFormat="1" applyFont="1" applyBorder="1" applyAlignment="1">
      <alignment horizontal="right" vertical="center"/>
    </xf>
    <xf numFmtId="0" fontId="0" fillId="0" borderId="72" xfId="4" applyFont="1" applyBorder="1" applyAlignment="1">
      <alignment horizontal="right" vertical="center"/>
    </xf>
    <xf numFmtId="176" fontId="0" fillId="0" borderId="12" xfId="4" applyNumberFormat="1" applyFont="1" applyBorder="1" applyAlignment="1">
      <alignment vertical="center"/>
    </xf>
    <xf numFmtId="176" fontId="0" fillId="0" borderId="49" xfId="4" applyNumberFormat="1" applyFont="1" applyBorder="1" applyAlignment="1">
      <alignment vertical="center"/>
    </xf>
    <xf numFmtId="0" fontId="5" fillId="0" borderId="5" xfId="5" applyFont="1" applyBorder="1" applyAlignment="1">
      <alignment horizontal="center" vertical="center" wrapText="1"/>
    </xf>
    <xf numFmtId="0" fontId="5" fillId="0" borderId="71" xfId="5" applyFont="1" applyBorder="1" applyAlignment="1">
      <alignment horizontal="center" vertical="center" wrapText="1"/>
    </xf>
    <xf numFmtId="0" fontId="5" fillId="0" borderId="20" xfId="5" applyFont="1" applyBorder="1" applyAlignment="1">
      <alignment horizontal="center" vertical="center" wrapText="1"/>
    </xf>
    <xf numFmtId="0" fontId="5" fillId="0" borderId="10" xfId="5" applyFont="1" applyBorder="1" applyAlignment="1">
      <alignment horizontal="center" vertical="center"/>
    </xf>
    <xf numFmtId="0" fontId="5" fillId="0" borderId="16" xfId="5" applyFont="1" applyBorder="1" applyAlignment="1">
      <alignment horizontal="center" vertical="center"/>
    </xf>
    <xf numFmtId="0" fontId="5" fillId="0" borderId="80" xfId="5" applyFont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/>
    </xf>
    <xf numFmtId="0" fontId="5" fillId="0" borderId="82" xfId="5" applyFont="1" applyBorder="1" applyAlignment="1">
      <alignment horizontal="center" vertical="center"/>
    </xf>
    <xf numFmtId="0" fontId="5" fillId="0" borderId="82" xfId="5" applyFont="1" applyBorder="1" applyAlignment="1">
      <alignment horizontal="center" vertical="center" wrapText="1"/>
    </xf>
    <xf numFmtId="0" fontId="5" fillId="0" borderId="10" xfId="5" applyFont="1" applyBorder="1" applyAlignment="1">
      <alignment horizontal="center" vertical="center" wrapText="1"/>
    </xf>
    <xf numFmtId="0" fontId="5" fillId="0" borderId="42" xfId="2" applyFont="1" applyBorder="1" applyAlignment="1">
      <alignment horizontal="center" vertical="center"/>
    </xf>
    <xf numFmtId="0" fontId="5" fillId="0" borderId="77" xfId="2" applyFont="1" applyBorder="1" applyAlignment="1">
      <alignment horizontal="center" vertical="center"/>
    </xf>
    <xf numFmtId="0" fontId="5" fillId="0" borderId="61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86" xfId="2" applyFont="1" applyBorder="1" applyAlignment="1">
      <alignment horizontal="center" vertical="center"/>
    </xf>
    <xf numFmtId="0" fontId="5" fillId="0" borderId="41" xfId="2" applyFont="1" applyBorder="1" applyAlignment="1">
      <alignment horizontal="center" vertical="center"/>
    </xf>
    <xf numFmtId="0" fontId="0" fillId="0" borderId="40" xfId="2" applyFont="1" applyBorder="1" applyAlignment="1">
      <alignment horizontal="center" vertical="center"/>
    </xf>
    <xf numFmtId="0" fontId="0" fillId="0" borderId="43" xfId="2" applyFont="1" applyBorder="1" applyAlignment="1">
      <alignment horizontal="center" vertical="center"/>
    </xf>
    <xf numFmtId="0" fontId="5" fillId="0" borderId="42" xfId="3" applyFont="1" applyBorder="1" applyAlignment="1">
      <alignment horizontal="center" vertical="center"/>
    </xf>
    <xf numFmtId="0" fontId="5" fillId="0" borderId="38" xfId="3" applyFont="1" applyBorder="1" applyAlignment="1">
      <alignment horizontal="center" vertical="center"/>
    </xf>
    <xf numFmtId="0" fontId="5" fillId="0" borderId="42" xfId="3" applyFont="1" applyBorder="1" applyAlignment="1">
      <alignment horizontal="center"/>
    </xf>
    <xf numFmtId="0" fontId="5" fillId="0" borderId="38" xfId="3" applyFont="1" applyBorder="1" applyAlignment="1">
      <alignment horizontal="center"/>
    </xf>
    <xf numFmtId="0" fontId="5" fillId="0" borderId="77" xfId="3" applyFont="1" applyBorder="1" applyAlignment="1">
      <alignment horizontal="center" vertical="center"/>
    </xf>
    <xf numFmtId="0" fontId="5" fillId="0" borderId="55" xfId="3" applyFont="1" applyBorder="1" applyAlignment="1">
      <alignment horizontal="center" vertical="center"/>
    </xf>
    <xf numFmtId="0" fontId="5" fillId="0" borderId="56" xfId="3" applyFont="1" applyBorder="1" applyAlignment="1">
      <alignment horizontal="center" vertical="center"/>
    </xf>
    <xf numFmtId="0" fontId="5" fillId="0" borderId="40" xfId="3" applyFont="1" applyBorder="1" applyAlignment="1">
      <alignment horizontal="center" vertical="center"/>
    </xf>
    <xf numFmtId="0" fontId="1" fillId="0" borderId="57" xfId="3" applyBorder="1" applyAlignment="1">
      <alignment horizontal="center" vertical="center"/>
    </xf>
    <xf numFmtId="0" fontId="1" fillId="0" borderId="58" xfId="3" applyBorder="1" applyAlignment="1">
      <alignment horizontal="center" vertical="center"/>
    </xf>
    <xf numFmtId="0" fontId="5" fillId="0" borderId="41" xfId="3" applyFont="1" applyBorder="1" applyAlignment="1">
      <alignment horizontal="center"/>
    </xf>
    <xf numFmtId="0" fontId="5" fillId="0" borderId="40" xfId="3" applyFont="1" applyBorder="1" applyAlignment="1">
      <alignment horizontal="center"/>
    </xf>
    <xf numFmtId="0" fontId="5" fillId="0" borderId="43" xfId="3" applyFont="1" applyBorder="1" applyAlignment="1">
      <alignment horizontal="center"/>
    </xf>
    <xf numFmtId="0" fontId="5" fillId="0" borderId="68" xfId="3" applyFont="1" applyBorder="1" applyAlignment="1">
      <alignment vertical="center"/>
    </xf>
    <xf numFmtId="0" fontId="5" fillId="0" borderId="5" xfId="3" applyFont="1" applyBorder="1" applyAlignment="1">
      <alignment vertical="center"/>
    </xf>
    <xf numFmtId="0" fontId="5" fillId="0" borderId="50" xfId="3" applyFont="1" applyBorder="1" applyAlignment="1">
      <alignment vertical="center"/>
    </xf>
    <xf numFmtId="0" fontId="5" fillId="0" borderId="5" xfId="3" applyFont="1" applyBorder="1" applyAlignment="1">
      <alignment horizontal="center" vertical="center" wrapText="1"/>
    </xf>
    <xf numFmtId="0" fontId="1" fillId="0" borderId="53" xfId="3" applyBorder="1" applyAlignment="1">
      <alignment horizontal="center" vertical="center"/>
    </xf>
    <xf numFmtId="0" fontId="1" fillId="0" borderId="51" xfId="3" applyBorder="1" applyAlignment="1">
      <alignment horizontal="center" vertical="center"/>
    </xf>
    <xf numFmtId="0" fontId="5" fillId="0" borderId="40" xfId="6" applyFont="1" applyBorder="1" applyAlignment="1">
      <alignment horizontal="center" vertical="center"/>
    </xf>
    <xf numFmtId="0" fontId="5" fillId="0" borderId="43" xfId="6" applyFont="1" applyBorder="1" applyAlignment="1">
      <alignment horizontal="center" vertical="center"/>
    </xf>
    <xf numFmtId="0" fontId="5" fillId="0" borderId="77" xfId="6" applyFont="1" applyBorder="1" applyAlignment="1">
      <alignment horizontal="center" vertical="center"/>
    </xf>
    <xf numFmtId="0" fontId="5" fillId="0" borderId="55" xfId="6" applyFont="1" applyBorder="1" applyAlignment="1">
      <alignment horizontal="center" vertical="center"/>
    </xf>
    <xf numFmtId="0" fontId="5" fillId="0" borderId="62" xfId="6" applyFont="1" applyBorder="1" applyAlignment="1">
      <alignment horizontal="center" vertical="center"/>
    </xf>
    <xf numFmtId="0" fontId="5" fillId="0" borderId="12" xfId="6" applyFont="1" applyBorder="1" applyAlignment="1">
      <alignment horizontal="center" vertical="center"/>
    </xf>
    <xf numFmtId="0" fontId="5" fillId="0" borderId="61" xfId="6" applyFont="1" applyBorder="1" applyAlignment="1">
      <alignment horizontal="center" vertical="center"/>
    </xf>
    <xf numFmtId="0" fontId="5" fillId="0" borderId="56" xfId="6" applyFont="1" applyBorder="1" applyAlignment="1">
      <alignment horizontal="center" vertical="center"/>
    </xf>
    <xf numFmtId="0" fontId="5" fillId="0" borderId="68" xfId="6" applyFont="1" applyBorder="1" applyAlignment="1">
      <alignment horizontal="center" vertical="center"/>
    </xf>
    <xf numFmtId="0" fontId="5" fillId="0" borderId="5" xfId="6" applyFont="1" applyBorder="1" applyAlignment="1">
      <alignment horizontal="center" vertical="center"/>
    </xf>
    <xf numFmtId="0" fontId="0" fillId="0" borderId="68" xfId="6" applyFont="1" applyBorder="1" applyAlignment="1">
      <alignment horizontal="center" vertical="center"/>
    </xf>
    <xf numFmtId="0" fontId="0" fillId="0" borderId="5" xfId="6" applyFont="1" applyBorder="1" applyAlignment="1">
      <alignment horizontal="center" vertical="center"/>
    </xf>
    <xf numFmtId="0" fontId="0" fillId="0" borderId="71" xfId="6" applyFont="1" applyBorder="1" applyAlignment="1">
      <alignment horizontal="center" vertical="center"/>
    </xf>
    <xf numFmtId="0" fontId="5" fillId="0" borderId="50" xfId="6" applyFont="1" applyBorder="1" applyAlignment="1">
      <alignment horizontal="center" vertical="center"/>
    </xf>
    <xf numFmtId="0" fontId="5" fillId="0" borderId="88" xfId="2" applyFont="1" applyBorder="1" applyAlignment="1">
      <alignment horizontal="center" vertical="center"/>
    </xf>
    <xf numFmtId="0" fontId="5" fillId="0" borderId="62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62" xfId="2" applyFont="1" applyBorder="1" applyAlignment="1">
      <alignment horizontal="center" vertical="center" wrapText="1"/>
    </xf>
    <xf numFmtId="0" fontId="5" fillId="0" borderId="89" xfId="2" applyFont="1" applyBorder="1" applyAlignment="1">
      <alignment horizontal="center" vertical="center"/>
    </xf>
    <xf numFmtId="0" fontId="5" fillId="0" borderId="66" xfId="2" applyFont="1" applyBorder="1" applyAlignment="1">
      <alignment horizontal="center" vertical="center"/>
    </xf>
    <xf numFmtId="0" fontId="5" fillId="0" borderId="49" xfId="2" applyFont="1" applyBorder="1" applyAlignment="1">
      <alignment horizontal="center" vertical="center"/>
    </xf>
    <xf numFmtId="41" fontId="5" fillId="0" borderId="13" xfId="2" applyNumberFormat="1" applyFont="1" applyBorder="1" applyAlignment="1">
      <alignment horizontal="right" vertical="center"/>
    </xf>
    <xf numFmtId="41" fontId="5" fillId="0" borderId="51" xfId="2" applyNumberFormat="1" applyFont="1" applyBorder="1" applyAlignment="1">
      <alignment horizontal="right" vertical="center"/>
    </xf>
    <xf numFmtId="0" fontId="5" fillId="0" borderId="39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/>
    </xf>
    <xf numFmtId="41" fontId="5" fillId="0" borderId="70" xfId="2" applyNumberFormat="1" applyFont="1" applyBorder="1" applyAlignment="1">
      <alignment horizontal="right" vertical="center"/>
    </xf>
    <xf numFmtId="41" fontId="5" fillId="0" borderId="45" xfId="2" applyNumberFormat="1" applyFont="1" applyBorder="1" applyAlignment="1">
      <alignment horizontal="right" vertical="center"/>
    </xf>
    <xf numFmtId="41" fontId="5" fillId="0" borderId="13" xfId="2" applyNumberFormat="1" applyFont="1" applyBorder="1" applyAlignment="1">
      <alignment horizontal="center" vertical="center"/>
    </xf>
    <xf numFmtId="41" fontId="5" fillId="0" borderId="51" xfId="2" applyNumberFormat="1" applyFont="1" applyBorder="1" applyAlignment="1">
      <alignment horizontal="center" vertical="center"/>
    </xf>
  </cellXfs>
  <cellStyles count="7">
    <cellStyle name="標準" xfId="0" builtinId="0"/>
    <cellStyle name="標準 2" xfId="2" xr:uid="{5D40983E-C06A-4759-953B-B9866B373048}"/>
    <cellStyle name="標準 3" xfId="3" xr:uid="{5D372471-E1EC-4672-8A5C-BCBD8A4E6D0D}"/>
    <cellStyle name="標準 4" xfId="4" xr:uid="{FCEC3035-66D5-4F37-B7DC-BEBB4907EB5E}"/>
    <cellStyle name="標準 5" xfId="5" xr:uid="{30EC1044-67DF-48D5-B8C7-6EDD4337E9FE}"/>
    <cellStyle name="標準 6" xfId="6" xr:uid="{A7817FA4-11F6-4036-A9B2-72936BAE4887}"/>
    <cellStyle name="標準_統計" xfId="1" xr:uid="{1062622D-C842-453F-8B93-2CC07C6191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D40EE-42E9-487A-9484-97660178B2BC}">
  <sheetPr>
    <pageSetUpPr autoPageBreaks="0"/>
  </sheetPr>
  <dimension ref="A1:V26"/>
  <sheetViews>
    <sheetView showGridLines="0" tabSelected="1" view="pageBreakPreview" zoomScale="90" zoomScaleNormal="100" zoomScaleSheetLayoutView="90" workbookViewId="0"/>
  </sheetViews>
  <sheetFormatPr defaultRowHeight="22.5" customHeight="1" x14ac:dyDescent="0.15"/>
  <cols>
    <col min="1" max="1" width="10.5" style="3" customWidth="1"/>
    <col min="2" max="2" width="15.25" style="3" customWidth="1"/>
    <col min="3" max="14" width="11.125" style="3" hidden="1" customWidth="1"/>
    <col min="15" max="17" width="11.25" style="3" hidden="1" customWidth="1"/>
    <col min="18" max="22" width="11.25" style="3" customWidth="1"/>
    <col min="23" max="256" width="9" style="3"/>
    <col min="257" max="257" width="10.5" style="3" customWidth="1"/>
    <col min="258" max="258" width="15.25" style="3" customWidth="1"/>
    <col min="259" max="273" width="0" style="3" hidden="1" customWidth="1"/>
    <col min="274" max="278" width="11.25" style="3" customWidth="1"/>
    <col min="279" max="512" width="9" style="3"/>
    <col min="513" max="513" width="10.5" style="3" customWidth="1"/>
    <col min="514" max="514" width="15.25" style="3" customWidth="1"/>
    <col min="515" max="529" width="0" style="3" hidden="1" customWidth="1"/>
    <col min="530" max="534" width="11.25" style="3" customWidth="1"/>
    <col min="535" max="768" width="9" style="3"/>
    <col min="769" max="769" width="10.5" style="3" customWidth="1"/>
    <col min="770" max="770" width="15.25" style="3" customWidth="1"/>
    <col min="771" max="785" width="0" style="3" hidden="1" customWidth="1"/>
    <col min="786" max="790" width="11.25" style="3" customWidth="1"/>
    <col min="791" max="1024" width="9" style="3"/>
    <col min="1025" max="1025" width="10.5" style="3" customWidth="1"/>
    <col min="1026" max="1026" width="15.25" style="3" customWidth="1"/>
    <col min="1027" max="1041" width="0" style="3" hidden="1" customWidth="1"/>
    <col min="1042" max="1046" width="11.25" style="3" customWidth="1"/>
    <col min="1047" max="1280" width="9" style="3"/>
    <col min="1281" max="1281" width="10.5" style="3" customWidth="1"/>
    <col min="1282" max="1282" width="15.25" style="3" customWidth="1"/>
    <col min="1283" max="1297" width="0" style="3" hidden="1" customWidth="1"/>
    <col min="1298" max="1302" width="11.25" style="3" customWidth="1"/>
    <col min="1303" max="1536" width="9" style="3"/>
    <col min="1537" max="1537" width="10.5" style="3" customWidth="1"/>
    <col min="1538" max="1538" width="15.25" style="3" customWidth="1"/>
    <col min="1539" max="1553" width="0" style="3" hidden="1" customWidth="1"/>
    <col min="1554" max="1558" width="11.25" style="3" customWidth="1"/>
    <col min="1559" max="1792" width="9" style="3"/>
    <col min="1793" max="1793" width="10.5" style="3" customWidth="1"/>
    <col min="1794" max="1794" width="15.25" style="3" customWidth="1"/>
    <col min="1795" max="1809" width="0" style="3" hidden="1" customWidth="1"/>
    <col min="1810" max="1814" width="11.25" style="3" customWidth="1"/>
    <col min="1815" max="2048" width="9" style="3"/>
    <col min="2049" max="2049" width="10.5" style="3" customWidth="1"/>
    <col min="2050" max="2050" width="15.25" style="3" customWidth="1"/>
    <col min="2051" max="2065" width="0" style="3" hidden="1" customWidth="1"/>
    <col min="2066" max="2070" width="11.25" style="3" customWidth="1"/>
    <col min="2071" max="2304" width="9" style="3"/>
    <col min="2305" max="2305" width="10.5" style="3" customWidth="1"/>
    <col min="2306" max="2306" width="15.25" style="3" customWidth="1"/>
    <col min="2307" max="2321" width="0" style="3" hidden="1" customWidth="1"/>
    <col min="2322" max="2326" width="11.25" style="3" customWidth="1"/>
    <col min="2327" max="2560" width="9" style="3"/>
    <col min="2561" max="2561" width="10.5" style="3" customWidth="1"/>
    <col min="2562" max="2562" width="15.25" style="3" customWidth="1"/>
    <col min="2563" max="2577" width="0" style="3" hidden="1" customWidth="1"/>
    <col min="2578" max="2582" width="11.25" style="3" customWidth="1"/>
    <col min="2583" max="2816" width="9" style="3"/>
    <col min="2817" max="2817" width="10.5" style="3" customWidth="1"/>
    <col min="2818" max="2818" width="15.25" style="3" customWidth="1"/>
    <col min="2819" max="2833" width="0" style="3" hidden="1" customWidth="1"/>
    <col min="2834" max="2838" width="11.25" style="3" customWidth="1"/>
    <col min="2839" max="3072" width="9" style="3"/>
    <col min="3073" max="3073" width="10.5" style="3" customWidth="1"/>
    <col min="3074" max="3074" width="15.25" style="3" customWidth="1"/>
    <col min="3075" max="3089" width="0" style="3" hidden="1" customWidth="1"/>
    <col min="3090" max="3094" width="11.25" style="3" customWidth="1"/>
    <col min="3095" max="3328" width="9" style="3"/>
    <col min="3329" max="3329" width="10.5" style="3" customWidth="1"/>
    <col min="3330" max="3330" width="15.25" style="3" customWidth="1"/>
    <col min="3331" max="3345" width="0" style="3" hidden="1" customWidth="1"/>
    <col min="3346" max="3350" width="11.25" style="3" customWidth="1"/>
    <col min="3351" max="3584" width="9" style="3"/>
    <col min="3585" max="3585" width="10.5" style="3" customWidth="1"/>
    <col min="3586" max="3586" width="15.25" style="3" customWidth="1"/>
    <col min="3587" max="3601" width="0" style="3" hidden="1" customWidth="1"/>
    <col min="3602" max="3606" width="11.25" style="3" customWidth="1"/>
    <col min="3607" max="3840" width="9" style="3"/>
    <col min="3841" max="3841" width="10.5" style="3" customWidth="1"/>
    <col min="3842" max="3842" width="15.25" style="3" customWidth="1"/>
    <col min="3843" max="3857" width="0" style="3" hidden="1" customWidth="1"/>
    <col min="3858" max="3862" width="11.25" style="3" customWidth="1"/>
    <col min="3863" max="4096" width="9" style="3"/>
    <col min="4097" max="4097" width="10.5" style="3" customWidth="1"/>
    <col min="4098" max="4098" width="15.25" style="3" customWidth="1"/>
    <col min="4099" max="4113" width="0" style="3" hidden="1" customWidth="1"/>
    <col min="4114" max="4118" width="11.25" style="3" customWidth="1"/>
    <col min="4119" max="4352" width="9" style="3"/>
    <col min="4353" max="4353" width="10.5" style="3" customWidth="1"/>
    <col min="4354" max="4354" width="15.25" style="3" customWidth="1"/>
    <col min="4355" max="4369" width="0" style="3" hidden="1" customWidth="1"/>
    <col min="4370" max="4374" width="11.25" style="3" customWidth="1"/>
    <col min="4375" max="4608" width="9" style="3"/>
    <col min="4609" max="4609" width="10.5" style="3" customWidth="1"/>
    <col min="4610" max="4610" width="15.25" style="3" customWidth="1"/>
    <col min="4611" max="4625" width="0" style="3" hidden="1" customWidth="1"/>
    <col min="4626" max="4630" width="11.25" style="3" customWidth="1"/>
    <col min="4631" max="4864" width="9" style="3"/>
    <col min="4865" max="4865" width="10.5" style="3" customWidth="1"/>
    <col min="4866" max="4866" width="15.25" style="3" customWidth="1"/>
    <col min="4867" max="4881" width="0" style="3" hidden="1" customWidth="1"/>
    <col min="4882" max="4886" width="11.25" style="3" customWidth="1"/>
    <col min="4887" max="5120" width="9" style="3"/>
    <col min="5121" max="5121" width="10.5" style="3" customWidth="1"/>
    <col min="5122" max="5122" width="15.25" style="3" customWidth="1"/>
    <col min="5123" max="5137" width="0" style="3" hidden="1" customWidth="1"/>
    <col min="5138" max="5142" width="11.25" style="3" customWidth="1"/>
    <col min="5143" max="5376" width="9" style="3"/>
    <col min="5377" max="5377" width="10.5" style="3" customWidth="1"/>
    <col min="5378" max="5378" width="15.25" style="3" customWidth="1"/>
    <col min="5379" max="5393" width="0" style="3" hidden="1" customWidth="1"/>
    <col min="5394" max="5398" width="11.25" style="3" customWidth="1"/>
    <col min="5399" max="5632" width="9" style="3"/>
    <col min="5633" max="5633" width="10.5" style="3" customWidth="1"/>
    <col min="5634" max="5634" width="15.25" style="3" customWidth="1"/>
    <col min="5635" max="5649" width="0" style="3" hidden="1" customWidth="1"/>
    <col min="5650" max="5654" width="11.25" style="3" customWidth="1"/>
    <col min="5655" max="5888" width="9" style="3"/>
    <col min="5889" max="5889" width="10.5" style="3" customWidth="1"/>
    <col min="5890" max="5890" width="15.25" style="3" customWidth="1"/>
    <col min="5891" max="5905" width="0" style="3" hidden="1" customWidth="1"/>
    <col min="5906" max="5910" width="11.25" style="3" customWidth="1"/>
    <col min="5911" max="6144" width="9" style="3"/>
    <col min="6145" max="6145" width="10.5" style="3" customWidth="1"/>
    <col min="6146" max="6146" width="15.25" style="3" customWidth="1"/>
    <col min="6147" max="6161" width="0" style="3" hidden="1" customWidth="1"/>
    <col min="6162" max="6166" width="11.25" style="3" customWidth="1"/>
    <col min="6167" max="6400" width="9" style="3"/>
    <col min="6401" max="6401" width="10.5" style="3" customWidth="1"/>
    <col min="6402" max="6402" width="15.25" style="3" customWidth="1"/>
    <col min="6403" max="6417" width="0" style="3" hidden="1" customWidth="1"/>
    <col min="6418" max="6422" width="11.25" style="3" customWidth="1"/>
    <col min="6423" max="6656" width="9" style="3"/>
    <col min="6657" max="6657" width="10.5" style="3" customWidth="1"/>
    <col min="6658" max="6658" width="15.25" style="3" customWidth="1"/>
    <col min="6659" max="6673" width="0" style="3" hidden="1" customWidth="1"/>
    <col min="6674" max="6678" width="11.25" style="3" customWidth="1"/>
    <col min="6679" max="6912" width="9" style="3"/>
    <col min="6913" max="6913" width="10.5" style="3" customWidth="1"/>
    <col min="6914" max="6914" width="15.25" style="3" customWidth="1"/>
    <col min="6915" max="6929" width="0" style="3" hidden="1" customWidth="1"/>
    <col min="6930" max="6934" width="11.25" style="3" customWidth="1"/>
    <col min="6935" max="7168" width="9" style="3"/>
    <col min="7169" max="7169" width="10.5" style="3" customWidth="1"/>
    <col min="7170" max="7170" width="15.25" style="3" customWidth="1"/>
    <col min="7171" max="7185" width="0" style="3" hidden="1" customWidth="1"/>
    <col min="7186" max="7190" width="11.25" style="3" customWidth="1"/>
    <col min="7191" max="7424" width="9" style="3"/>
    <col min="7425" max="7425" width="10.5" style="3" customWidth="1"/>
    <col min="7426" max="7426" width="15.25" style="3" customWidth="1"/>
    <col min="7427" max="7441" width="0" style="3" hidden="1" customWidth="1"/>
    <col min="7442" max="7446" width="11.25" style="3" customWidth="1"/>
    <col min="7447" max="7680" width="9" style="3"/>
    <col min="7681" max="7681" width="10.5" style="3" customWidth="1"/>
    <col min="7682" max="7682" width="15.25" style="3" customWidth="1"/>
    <col min="7683" max="7697" width="0" style="3" hidden="1" customWidth="1"/>
    <col min="7698" max="7702" width="11.25" style="3" customWidth="1"/>
    <col min="7703" max="7936" width="9" style="3"/>
    <col min="7937" max="7937" width="10.5" style="3" customWidth="1"/>
    <col min="7938" max="7938" width="15.25" style="3" customWidth="1"/>
    <col min="7939" max="7953" width="0" style="3" hidden="1" customWidth="1"/>
    <col min="7954" max="7958" width="11.25" style="3" customWidth="1"/>
    <col min="7959" max="8192" width="9" style="3"/>
    <col min="8193" max="8193" width="10.5" style="3" customWidth="1"/>
    <col min="8194" max="8194" width="15.25" style="3" customWidth="1"/>
    <col min="8195" max="8209" width="0" style="3" hidden="1" customWidth="1"/>
    <col min="8210" max="8214" width="11.25" style="3" customWidth="1"/>
    <col min="8215" max="8448" width="9" style="3"/>
    <col min="8449" max="8449" width="10.5" style="3" customWidth="1"/>
    <col min="8450" max="8450" width="15.25" style="3" customWidth="1"/>
    <col min="8451" max="8465" width="0" style="3" hidden="1" customWidth="1"/>
    <col min="8466" max="8470" width="11.25" style="3" customWidth="1"/>
    <col min="8471" max="8704" width="9" style="3"/>
    <col min="8705" max="8705" width="10.5" style="3" customWidth="1"/>
    <col min="8706" max="8706" width="15.25" style="3" customWidth="1"/>
    <col min="8707" max="8721" width="0" style="3" hidden="1" customWidth="1"/>
    <col min="8722" max="8726" width="11.25" style="3" customWidth="1"/>
    <col min="8727" max="8960" width="9" style="3"/>
    <col min="8961" max="8961" width="10.5" style="3" customWidth="1"/>
    <col min="8962" max="8962" width="15.25" style="3" customWidth="1"/>
    <col min="8963" max="8977" width="0" style="3" hidden="1" customWidth="1"/>
    <col min="8978" max="8982" width="11.25" style="3" customWidth="1"/>
    <col min="8983" max="9216" width="9" style="3"/>
    <col min="9217" max="9217" width="10.5" style="3" customWidth="1"/>
    <col min="9218" max="9218" width="15.25" style="3" customWidth="1"/>
    <col min="9219" max="9233" width="0" style="3" hidden="1" customWidth="1"/>
    <col min="9234" max="9238" width="11.25" style="3" customWidth="1"/>
    <col min="9239" max="9472" width="9" style="3"/>
    <col min="9473" max="9473" width="10.5" style="3" customWidth="1"/>
    <col min="9474" max="9474" width="15.25" style="3" customWidth="1"/>
    <col min="9475" max="9489" width="0" style="3" hidden="1" customWidth="1"/>
    <col min="9490" max="9494" width="11.25" style="3" customWidth="1"/>
    <col min="9495" max="9728" width="9" style="3"/>
    <col min="9729" max="9729" width="10.5" style="3" customWidth="1"/>
    <col min="9730" max="9730" width="15.25" style="3" customWidth="1"/>
    <col min="9731" max="9745" width="0" style="3" hidden="1" customWidth="1"/>
    <col min="9746" max="9750" width="11.25" style="3" customWidth="1"/>
    <col min="9751" max="9984" width="9" style="3"/>
    <col min="9985" max="9985" width="10.5" style="3" customWidth="1"/>
    <col min="9986" max="9986" width="15.25" style="3" customWidth="1"/>
    <col min="9987" max="10001" width="0" style="3" hidden="1" customWidth="1"/>
    <col min="10002" max="10006" width="11.25" style="3" customWidth="1"/>
    <col min="10007" max="10240" width="9" style="3"/>
    <col min="10241" max="10241" width="10.5" style="3" customWidth="1"/>
    <col min="10242" max="10242" width="15.25" style="3" customWidth="1"/>
    <col min="10243" max="10257" width="0" style="3" hidden="1" customWidth="1"/>
    <col min="10258" max="10262" width="11.25" style="3" customWidth="1"/>
    <col min="10263" max="10496" width="9" style="3"/>
    <col min="10497" max="10497" width="10.5" style="3" customWidth="1"/>
    <col min="10498" max="10498" width="15.25" style="3" customWidth="1"/>
    <col min="10499" max="10513" width="0" style="3" hidden="1" customWidth="1"/>
    <col min="10514" max="10518" width="11.25" style="3" customWidth="1"/>
    <col min="10519" max="10752" width="9" style="3"/>
    <col min="10753" max="10753" width="10.5" style="3" customWidth="1"/>
    <col min="10754" max="10754" width="15.25" style="3" customWidth="1"/>
    <col min="10755" max="10769" width="0" style="3" hidden="1" customWidth="1"/>
    <col min="10770" max="10774" width="11.25" style="3" customWidth="1"/>
    <col min="10775" max="11008" width="9" style="3"/>
    <col min="11009" max="11009" width="10.5" style="3" customWidth="1"/>
    <col min="11010" max="11010" width="15.25" style="3" customWidth="1"/>
    <col min="11011" max="11025" width="0" style="3" hidden="1" customWidth="1"/>
    <col min="11026" max="11030" width="11.25" style="3" customWidth="1"/>
    <col min="11031" max="11264" width="9" style="3"/>
    <col min="11265" max="11265" width="10.5" style="3" customWidth="1"/>
    <col min="11266" max="11266" width="15.25" style="3" customWidth="1"/>
    <col min="11267" max="11281" width="0" style="3" hidden="1" customWidth="1"/>
    <col min="11282" max="11286" width="11.25" style="3" customWidth="1"/>
    <col min="11287" max="11520" width="9" style="3"/>
    <col min="11521" max="11521" width="10.5" style="3" customWidth="1"/>
    <col min="11522" max="11522" width="15.25" style="3" customWidth="1"/>
    <col min="11523" max="11537" width="0" style="3" hidden="1" customWidth="1"/>
    <col min="11538" max="11542" width="11.25" style="3" customWidth="1"/>
    <col min="11543" max="11776" width="9" style="3"/>
    <col min="11777" max="11777" width="10.5" style="3" customWidth="1"/>
    <col min="11778" max="11778" width="15.25" style="3" customWidth="1"/>
    <col min="11779" max="11793" width="0" style="3" hidden="1" customWidth="1"/>
    <col min="11794" max="11798" width="11.25" style="3" customWidth="1"/>
    <col min="11799" max="12032" width="9" style="3"/>
    <col min="12033" max="12033" width="10.5" style="3" customWidth="1"/>
    <col min="12034" max="12034" width="15.25" style="3" customWidth="1"/>
    <col min="12035" max="12049" width="0" style="3" hidden="1" customWidth="1"/>
    <col min="12050" max="12054" width="11.25" style="3" customWidth="1"/>
    <col min="12055" max="12288" width="9" style="3"/>
    <col min="12289" max="12289" width="10.5" style="3" customWidth="1"/>
    <col min="12290" max="12290" width="15.25" style="3" customWidth="1"/>
    <col min="12291" max="12305" width="0" style="3" hidden="1" customWidth="1"/>
    <col min="12306" max="12310" width="11.25" style="3" customWidth="1"/>
    <col min="12311" max="12544" width="9" style="3"/>
    <col min="12545" max="12545" width="10.5" style="3" customWidth="1"/>
    <col min="12546" max="12546" width="15.25" style="3" customWidth="1"/>
    <col min="12547" max="12561" width="0" style="3" hidden="1" customWidth="1"/>
    <col min="12562" max="12566" width="11.25" style="3" customWidth="1"/>
    <col min="12567" max="12800" width="9" style="3"/>
    <col min="12801" max="12801" width="10.5" style="3" customWidth="1"/>
    <col min="12802" max="12802" width="15.25" style="3" customWidth="1"/>
    <col min="12803" max="12817" width="0" style="3" hidden="1" customWidth="1"/>
    <col min="12818" max="12822" width="11.25" style="3" customWidth="1"/>
    <col min="12823" max="13056" width="9" style="3"/>
    <col min="13057" max="13057" width="10.5" style="3" customWidth="1"/>
    <col min="13058" max="13058" width="15.25" style="3" customWidth="1"/>
    <col min="13059" max="13073" width="0" style="3" hidden="1" customWidth="1"/>
    <col min="13074" max="13078" width="11.25" style="3" customWidth="1"/>
    <col min="13079" max="13312" width="9" style="3"/>
    <col min="13313" max="13313" width="10.5" style="3" customWidth="1"/>
    <col min="13314" max="13314" width="15.25" style="3" customWidth="1"/>
    <col min="13315" max="13329" width="0" style="3" hidden="1" customWidth="1"/>
    <col min="13330" max="13334" width="11.25" style="3" customWidth="1"/>
    <col min="13335" max="13568" width="9" style="3"/>
    <col min="13569" max="13569" width="10.5" style="3" customWidth="1"/>
    <col min="13570" max="13570" width="15.25" style="3" customWidth="1"/>
    <col min="13571" max="13585" width="0" style="3" hidden="1" customWidth="1"/>
    <col min="13586" max="13590" width="11.25" style="3" customWidth="1"/>
    <col min="13591" max="13824" width="9" style="3"/>
    <col min="13825" max="13825" width="10.5" style="3" customWidth="1"/>
    <col min="13826" max="13826" width="15.25" style="3" customWidth="1"/>
    <col min="13827" max="13841" width="0" style="3" hidden="1" customWidth="1"/>
    <col min="13842" max="13846" width="11.25" style="3" customWidth="1"/>
    <col min="13847" max="14080" width="9" style="3"/>
    <col min="14081" max="14081" width="10.5" style="3" customWidth="1"/>
    <col min="14082" max="14082" width="15.25" style="3" customWidth="1"/>
    <col min="14083" max="14097" width="0" style="3" hidden="1" customWidth="1"/>
    <col min="14098" max="14102" width="11.25" style="3" customWidth="1"/>
    <col min="14103" max="14336" width="9" style="3"/>
    <col min="14337" max="14337" width="10.5" style="3" customWidth="1"/>
    <col min="14338" max="14338" width="15.25" style="3" customWidth="1"/>
    <col min="14339" max="14353" width="0" style="3" hidden="1" customWidth="1"/>
    <col min="14354" max="14358" width="11.25" style="3" customWidth="1"/>
    <col min="14359" max="14592" width="9" style="3"/>
    <col min="14593" max="14593" width="10.5" style="3" customWidth="1"/>
    <col min="14594" max="14594" width="15.25" style="3" customWidth="1"/>
    <col min="14595" max="14609" width="0" style="3" hidden="1" customWidth="1"/>
    <col min="14610" max="14614" width="11.25" style="3" customWidth="1"/>
    <col min="14615" max="14848" width="9" style="3"/>
    <col min="14849" max="14849" width="10.5" style="3" customWidth="1"/>
    <col min="14850" max="14850" width="15.25" style="3" customWidth="1"/>
    <col min="14851" max="14865" width="0" style="3" hidden="1" customWidth="1"/>
    <col min="14866" max="14870" width="11.25" style="3" customWidth="1"/>
    <col min="14871" max="15104" width="9" style="3"/>
    <col min="15105" max="15105" width="10.5" style="3" customWidth="1"/>
    <col min="15106" max="15106" width="15.25" style="3" customWidth="1"/>
    <col min="15107" max="15121" width="0" style="3" hidden="1" customWidth="1"/>
    <col min="15122" max="15126" width="11.25" style="3" customWidth="1"/>
    <col min="15127" max="15360" width="9" style="3"/>
    <col min="15361" max="15361" width="10.5" style="3" customWidth="1"/>
    <col min="15362" max="15362" width="15.25" style="3" customWidth="1"/>
    <col min="15363" max="15377" width="0" style="3" hidden="1" customWidth="1"/>
    <col min="15378" max="15382" width="11.25" style="3" customWidth="1"/>
    <col min="15383" max="15616" width="9" style="3"/>
    <col min="15617" max="15617" width="10.5" style="3" customWidth="1"/>
    <col min="15618" max="15618" width="15.25" style="3" customWidth="1"/>
    <col min="15619" max="15633" width="0" style="3" hidden="1" customWidth="1"/>
    <col min="15634" max="15638" width="11.25" style="3" customWidth="1"/>
    <col min="15639" max="15872" width="9" style="3"/>
    <col min="15873" max="15873" width="10.5" style="3" customWidth="1"/>
    <col min="15874" max="15874" width="15.25" style="3" customWidth="1"/>
    <col min="15875" max="15889" width="0" style="3" hidden="1" customWidth="1"/>
    <col min="15890" max="15894" width="11.25" style="3" customWidth="1"/>
    <col min="15895" max="16128" width="9" style="3"/>
    <col min="16129" max="16129" width="10.5" style="3" customWidth="1"/>
    <col min="16130" max="16130" width="15.25" style="3" customWidth="1"/>
    <col min="16131" max="16145" width="0" style="3" hidden="1" customWidth="1"/>
    <col min="16146" max="16150" width="11.25" style="3" customWidth="1"/>
    <col min="16151" max="16384" width="9" style="3"/>
  </cols>
  <sheetData>
    <row r="1" spans="1:22" ht="27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7" customHeight="1" x14ac:dyDescent="0.1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7" customHeight="1" thickBot="1" x14ac:dyDescent="0.2">
      <c r="A3" s="4"/>
      <c r="B3" s="2"/>
      <c r="C3" s="5"/>
      <c r="D3" s="5"/>
      <c r="E3" s="5"/>
      <c r="F3" s="5"/>
      <c r="G3" s="5"/>
      <c r="H3" s="5"/>
      <c r="I3" s="5"/>
      <c r="J3" s="5"/>
      <c r="K3" s="2"/>
      <c r="L3" s="5"/>
      <c r="M3" s="5"/>
      <c r="N3" s="5"/>
      <c r="O3" s="5"/>
      <c r="P3" s="5"/>
      <c r="Q3" s="5"/>
      <c r="R3" s="5"/>
      <c r="S3" s="5"/>
      <c r="T3" s="5"/>
      <c r="U3" s="5"/>
      <c r="V3" s="5" t="s">
        <v>2</v>
      </c>
    </row>
    <row r="4" spans="1:22" ht="22.5" customHeight="1" x14ac:dyDescent="0.15">
      <c r="A4" s="700" t="s">
        <v>3</v>
      </c>
      <c r="B4" s="701"/>
      <c r="C4" s="6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6" t="s">
        <v>11</v>
      </c>
      <c r="K4" s="7" t="s">
        <v>12</v>
      </c>
      <c r="L4" s="7" t="s">
        <v>13</v>
      </c>
      <c r="M4" s="6" t="s">
        <v>14</v>
      </c>
      <c r="N4" s="6" t="s">
        <v>15</v>
      </c>
      <c r="O4" s="6" t="s">
        <v>16</v>
      </c>
      <c r="P4" s="6" t="s">
        <v>17</v>
      </c>
      <c r="Q4" s="6" t="s">
        <v>18</v>
      </c>
      <c r="R4" s="6" t="s">
        <v>19</v>
      </c>
      <c r="S4" s="6" t="s">
        <v>20</v>
      </c>
      <c r="T4" s="6" t="s">
        <v>21</v>
      </c>
      <c r="U4" s="7" t="s">
        <v>22</v>
      </c>
      <c r="V4" s="8" t="s">
        <v>23</v>
      </c>
    </row>
    <row r="5" spans="1:22" ht="22.5" customHeight="1" x14ac:dyDescent="0.15">
      <c r="A5" s="9"/>
      <c r="B5" s="10" t="s">
        <v>24</v>
      </c>
      <c r="C5" s="11">
        <v>36796</v>
      </c>
      <c r="D5" s="12">
        <v>36843</v>
      </c>
      <c r="E5" s="12">
        <v>38029</v>
      </c>
      <c r="F5" s="12">
        <v>34663</v>
      </c>
      <c r="G5" s="12">
        <v>34440</v>
      </c>
      <c r="H5" s="13">
        <v>34372</v>
      </c>
      <c r="I5" s="12">
        <v>34387</v>
      </c>
      <c r="J5" s="11">
        <v>34264</v>
      </c>
      <c r="K5" s="12">
        <v>34225</v>
      </c>
      <c r="L5" s="12">
        <v>34149</v>
      </c>
      <c r="M5" s="13">
        <v>34163</v>
      </c>
      <c r="N5" s="13">
        <v>33961</v>
      </c>
      <c r="O5" s="13">
        <v>33806</v>
      </c>
      <c r="P5" s="11">
        <v>33648</v>
      </c>
      <c r="Q5" s="11">
        <v>33309</v>
      </c>
      <c r="R5" s="11">
        <v>33083</v>
      </c>
      <c r="S5" s="11">
        <v>32801</v>
      </c>
      <c r="T5" s="11">
        <v>32667</v>
      </c>
      <c r="U5" s="12">
        <v>32196</v>
      </c>
      <c r="V5" s="14">
        <v>34286</v>
      </c>
    </row>
    <row r="6" spans="1:22" ht="22.5" customHeight="1" x14ac:dyDescent="0.15">
      <c r="A6" s="15"/>
      <c r="B6" s="10" t="s">
        <v>25</v>
      </c>
      <c r="C6" s="12">
        <v>34129</v>
      </c>
      <c r="D6" s="12">
        <v>34239</v>
      </c>
      <c r="E6" s="12">
        <v>35229</v>
      </c>
      <c r="F6" s="12">
        <v>33425</v>
      </c>
      <c r="G6" s="12">
        <v>33267</v>
      </c>
      <c r="H6" s="12">
        <v>33059</v>
      </c>
      <c r="I6" s="12">
        <v>32834</v>
      </c>
      <c r="J6" s="11">
        <v>32654</v>
      </c>
      <c r="K6" s="12">
        <v>32453</v>
      </c>
      <c r="L6" s="12">
        <v>32333</v>
      </c>
      <c r="M6" s="12">
        <v>32194</v>
      </c>
      <c r="N6" s="12">
        <v>32061</v>
      </c>
      <c r="O6" s="12">
        <v>31837</v>
      </c>
      <c r="P6" s="11">
        <v>31579</v>
      </c>
      <c r="Q6" s="11">
        <v>31291</v>
      </c>
      <c r="R6" s="11">
        <v>31012</v>
      </c>
      <c r="S6" s="11">
        <v>30716</v>
      </c>
      <c r="T6" s="11">
        <v>30382</v>
      </c>
      <c r="U6" s="12">
        <v>30126</v>
      </c>
      <c r="V6" s="14">
        <v>32746</v>
      </c>
    </row>
    <row r="7" spans="1:22" ht="22.5" customHeight="1" x14ac:dyDescent="0.15">
      <c r="A7" s="15" t="s">
        <v>26</v>
      </c>
      <c r="B7" s="10" t="s">
        <v>27</v>
      </c>
      <c r="C7" s="11">
        <v>73528</v>
      </c>
      <c r="D7" s="12">
        <v>74898</v>
      </c>
      <c r="E7" s="12">
        <v>78191</v>
      </c>
      <c r="F7" s="12">
        <v>84265</v>
      </c>
      <c r="G7" s="12">
        <v>85786</v>
      </c>
      <c r="H7" s="12">
        <v>86927</v>
      </c>
      <c r="I7" s="12">
        <v>87926</v>
      </c>
      <c r="J7" s="11">
        <v>88887</v>
      </c>
      <c r="K7" s="12">
        <v>89821</v>
      </c>
      <c r="L7" s="12">
        <v>90919</v>
      </c>
      <c r="M7" s="12">
        <v>91946</v>
      </c>
      <c r="N7" s="12">
        <v>93082</v>
      </c>
      <c r="O7" s="12">
        <v>94089</v>
      </c>
      <c r="P7" s="11">
        <v>95252</v>
      </c>
      <c r="Q7" s="11">
        <v>96524</v>
      </c>
      <c r="R7" s="11">
        <v>97240</v>
      </c>
      <c r="S7" s="11">
        <v>98399</v>
      </c>
      <c r="T7" s="11">
        <v>99736</v>
      </c>
      <c r="U7" s="12">
        <v>100955</v>
      </c>
      <c r="V7" s="14">
        <v>97545</v>
      </c>
    </row>
    <row r="8" spans="1:22" ht="22.5" customHeight="1" x14ac:dyDescent="0.15">
      <c r="A8" s="15"/>
      <c r="B8" s="16" t="s">
        <v>28</v>
      </c>
      <c r="C8" s="17">
        <v>1942</v>
      </c>
      <c r="D8" s="18">
        <v>1922</v>
      </c>
      <c r="E8" s="18">
        <v>1994</v>
      </c>
      <c r="F8" s="18">
        <v>1990</v>
      </c>
      <c r="G8" s="18">
        <v>1825</v>
      </c>
      <c r="H8" s="18">
        <v>1817</v>
      </c>
      <c r="I8" s="18">
        <v>1805</v>
      </c>
      <c r="J8" s="17">
        <v>1751</v>
      </c>
      <c r="K8" s="18">
        <v>1743</v>
      </c>
      <c r="L8" s="18">
        <v>1725</v>
      </c>
      <c r="M8" s="18">
        <v>1731</v>
      </c>
      <c r="N8" s="18">
        <v>1726</v>
      </c>
      <c r="O8" s="18">
        <v>1735</v>
      </c>
      <c r="P8" s="11">
        <v>1785</v>
      </c>
      <c r="Q8" s="11">
        <v>1833</v>
      </c>
      <c r="R8" s="11">
        <v>1839</v>
      </c>
      <c r="S8" s="11">
        <v>1871</v>
      </c>
      <c r="T8" s="11">
        <v>1713</v>
      </c>
      <c r="U8" s="12">
        <v>1976</v>
      </c>
      <c r="V8" s="14">
        <v>2061</v>
      </c>
    </row>
    <row r="9" spans="1:22" ht="22.5" customHeight="1" x14ac:dyDescent="0.15">
      <c r="A9" s="15"/>
      <c r="B9" s="19" t="s">
        <v>29</v>
      </c>
      <c r="C9" s="20">
        <f t="shared" ref="C9:I9" si="0">SUM(C5:C8)</f>
        <v>146395</v>
      </c>
      <c r="D9" s="21">
        <f t="shared" si="0"/>
        <v>147902</v>
      </c>
      <c r="E9" s="21">
        <f t="shared" si="0"/>
        <v>153443</v>
      </c>
      <c r="F9" s="21">
        <f t="shared" si="0"/>
        <v>154343</v>
      </c>
      <c r="G9" s="21">
        <f t="shared" si="0"/>
        <v>155318</v>
      </c>
      <c r="H9" s="21">
        <f t="shared" si="0"/>
        <v>156175</v>
      </c>
      <c r="I9" s="21">
        <f t="shared" si="0"/>
        <v>156952</v>
      </c>
      <c r="J9" s="20">
        <f>SUM(J5:J8)</f>
        <v>157556</v>
      </c>
      <c r="K9" s="21">
        <v>158242</v>
      </c>
      <c r="L9" s="21">
        <v>159126</v>
      </c>
      <c r="M9" s="20">
        <v>160034</v>
      </c>
      <c r="N9" s="20">
        <v>160830</v>
      </c>
      <c r="O9" s="20">
        <f t="shared" ref="O9:T9" si="1">SUM(O5:O8)</f>
        <v>161467</v>
      </c>
      <c r="P9" s="20">
        <f t="shared" si="1"/>
        <v>162264</v>
      </c>
      <c r="Q9" s="20">
        <f t="shared" si="1"/>
        <v>162957</v>
      </c>
      <c r="R9" s="20">
        <f t="shared" si="1"/>
        <v>163174</v>
      </c>
      <c r="S9" s="20">
        <f t="shared" si="1"/>
        <v>163787</v>
      </c>
      <c r="T9" s="20">
        <f t="shared" si="1"/>
        <v>164498</v>
      </c>
      <c r="U9" s="21">
        <f>SUM(U5:U8)</f>
        <v>165253</v>
      </c>
      <c r="V9" s="22">
        <f>SUM(V5:V8)</f>
        <v>166638</v>
      </c>
    </row>
    <row r="10" spans="1:22" ht="22.5" customHeight="1" x14ac:dyDescent="0.15">
      <c r="A10" s="23"/>
      <c r="B10" s="24" t="s">
        <v>30</v>
      </c>
      <c r="C10" s="25">
        <v>100.7</v>
      </c>
      <c r="D10" s="26">
        <f t="shared" ref="D10:V10" si="2">ROUND((D9/C9)*100,1)</f>
        <v>101</v>
      </c>
      <c r="E10" s="26">
        <f t="shared" si="2"/>
        <v>103.7</v>
      </c>
      <c r="F10" s="26">
        <f>ROUND((F9/E9)*100,1)</f>
        <v>100.6</v>
      </c>
      <c r="G10" s="26">
        <f t="shared" si="2"/>
        <v>100.6</v>
      </c>
      <c r="H10" s="26">
        <f t="shared" si="2"/>
        <v>100.6</v>
      </c>
      <c r="I10" s="26">
        <f t="shared" si="2"/>
        <v>100.5</v>
      </c>
      <c r="J10" s="25">
        <f t="shared" si="2"/>
        <v>100.4</v>
      </c>
      <c r="K10" s="26">
        <f t="shared" si="2"/>
        <v>100.4</v>
      </c>
      <c r="L10" s="26">
        <f t="shared" si="2"/>
        <v>100.6</v>
      </c>
      <c r="M10" s="25">
        <f t="shared" si="2"/>
        <v>100.6</v>
      </c>
      <c r="N10" s="25">
        <f t="shared" si="2"/>
        <v>100.5</v>
      </c>
      <c r="O10" s="27">
        <f t="shared" si="2"/>
        <v>100.4</v>
      </c>
      <c r="P10" s="27">
        <f t="shared" si="2"/>
        <v>100.5</v>
      </c>
      <c r="Q10" s="27">
        <f t="shared" si="2"/>
        <v>100.4</v>
      </c>
      <c r="R10" s="27">
        <f t="shared" si="2"/>
        <v>100.1</v>
      </c>
      <c r="S10" s="27">
        <f t="shared" si="2"/>
        <v>100.4</v>
      </c>
      <c r="T10" s="27">
        <f t="shared" si="2"/>
        <v>100.4</v>
      </c>
      <c r="U10" s="28">
        <f t="shared" si="2"/>
        <v>100.5</v>
      </c>
      <c r="V10" s="29">
        <f t="shared" si="2"/>
        <v>100.8</v>
      </c>
    </row>
    <row r="11" spans="1:22" ht="22.5" customHeight="1" x14ac:dyDescent="0.15">
      <c r="A11" s="30"/>
      <c r="B11" s="31" t="s">
        <v>24</v>
      </c>
      <c r="C11" s="32">
        <v>33629</v>
      </c>
      <c r="D11" s="13">
        <v>33719</v>
      </c>
      <c r="E11" s="13">
        <v>33070</v>
      </c>
      <c r="F11" s="13">
        <v>30419</v>
      </c>
      <c r="G11" s="13">
        <v>30233</v>
      </c>
      <c r="H11" s="13">
        <v>30192</v>
      </c>
      <c r="I11" s="13">
        <v>30216</v>
      </c>
      <c r="J11" s="32">
        <v>31136</v>
      </c>
      <c r="K11" s="13">
        <v>31118</v>
      </c>
      <c r="L11" s="13">
        <v>31051</v>
      </c>
      <c r="M11" s="13">
        <v>31074</v>
      </c>
      <c r="N11" s="13">
        <v>30890</v>
      </c>
      <c r="O11" s="33">
        <v>30793</v>
      </c>
      <c r="P11" s="11">
        <v>30658</v>
      </c>
      <c r="Q11" s="11">
        <v>30385</v>
      </c>
      <c r="R11" s="11">
        <v>30220</v>
      </c>
      <c r="S11" s="11">
        <v>29978</v>
      </c>
      <c r="T11" s="11">
        <v>29818</v>
      </c>
      <c r="U11" s="12">
        <v>29428</v>
      </c>
      <c r="V11" s="14">
        <v>32175</v>
      </c>
    </row>
    <row r="12" spans="1:22" ht="22.5" customHeight="1" x14ac:dyDescent="0.15">
      <c r="A12" s="15"/>
      <c r="B12" s="34" t="s">
        <v>25</v>
      </c>
      <c r="C12" s="11">
        <v>31240</v>
      </c>
      <c r="D12" s="12">
        <v>31408</v>
      </c>
      <c r="E12" s="12">
        <v>30647</v>
      </c>
      <c r="F12" s="12">
        <v>30087</v>
      </c>
      <c r="G12" s="12">
        <v>29976</v>
      </c>
      <c r="H12" s="12">
        <v>29772</v>
      </c>
      <c r="I12" s="12">
        <v>29559</v>
      </c>
      <c r="J12" s="11">
        <v>30324</v>
      </c>
      <c r="K12" s="12">
        <v>30163</v>
      </c>
      <c r="L12" s="12">
        <v>30056</v>
      </c>
      <c r="M12" s="12">
        <v>29931</v>
      </c>
      <c r="N12" s="12">
        <v>29788</v>
      </c>
      <c r="O12" s="33">
        <v>29586</v>
      </c>
      <c r="P12" s="11">
        <v>29358</v>
      </c>
      <c r="Q12" s="11">
        <v>29096</v>
      </c>
      <c r="R12" s="11">
        <v>28870</v>
      </c>
      <c r="S12" s="11">
        <v>28609</v>
      </c>
      <c r="T12" s="11">
        <v>28208</v>
      </c>
      <c r="U12" s="12">
        <v>28097</v>
      </c>
      <c r="V12" s="14">
        <v>29244</v>
      </c>
    </row>
    <row r="13" spans="1:22" ht="22.5" customHeight="1" x14ac:dyDescent="0.15">
      <c r="A13" s="15" t="s">
        <v>31</v>
      </c>
      <c r="B13" s="35" t="s">
        <v>32</v>
      </c>
      <c r="C13" s="18">
        <v>66020</v>
      </c>
      <c r="D13" s="18">
        <v>67294</v>
      </c>
      <c r="E13" s="18">
        <v>69590</v>
      </c>
      <c r="F13" s="18">
        <v>73584</v>
      </c>
      <c r="G13" s="18">
        <v>75005</v>
      </c>
      <c r="H13" s="18">
        <v>76038</v>
      </c>
      <c r="I13" s="18">
        <v>77003</v>
      </c>
      <c r="J13" s="17">
        <v>80181</v>
      </c>
      <c r="K13" s="18">
        <v>81069</v>
      </c>
      <c r="L13" s="18">
        <v>82140</v>
      </c>
      <c r="M13" s="12">
        <v>83110</v>
      </c>
      <c r="N13" s="12">
        <v>84197</v>
      </c>
      <c r="O13" s="33">
        <v>85160</v>
      </c>
      <c r="P13" s="11">
        <v>86294</v>
      </c>
      <c r="Q13" s="11">
        <v>87530</v>
      </c>
      <c r="R13" s="11">
        <v>88533</v>
      </c>
      <c r="S13" s="11">
        <v>89606</v>
      </c>
      <c r="T13" s="11">
        <v>90805</v>
      </c>
      <c r="U13" s="12">
        <v>92084</v>
      </c>
      <c r="V13" s="14">
        <v>89124</v>
      </c>
    </row>
    <row r="14" spans="1:22" ht="22.5" customHeight="1" x14ac:dyDescent="0.15">
      <c r="A14" s="36"/>
      <c r="B14" s="37" t="s">
        <v>29</v>
      </c>
      <c r="C14" s="20">
        <f t="shared" ref="C14:I14" si="3">SUM(C11:C13)</f>
        <v>130889</v>
      </c>
      <c r="D14" s="21">
        <f t="shared" si="3"/>
        <v>132421</v>
      </c>
      <c r="E14" s="21">
        <f t="shared" si="3"/>
        <v>133307</v>
      </c>
      <c r="F14" s="21">
        <f t="shared" si="3"/>
        <v>134090</v>
      </c>
      <c r="G14" s="21">
        <f t="shared" si="3"/>
        <v>135214</v>
      </c>
      <c r="H14" s="21">
        <f t="shared" si="3"/>
        <v>136002</v>
      </c>
      <c r="I14" s="21">
        <f t="shared" si="3"/>
        <v>136778</v>
      </c>
      <c r="J14" s="20">
        <f>SUM(J11:J13)</f>
        <v>141641</v>
      </c>
      <c r="K14" s="21">
        <v>142350</v>
      </c>
      <c r="L14" s="21">
        <v>143247</v>
      </c>
      <c r="M14" s="21">
        <v>144115</v>
      </c>
      <c r="N14" s="21">
        <v>144875</v>
      </c>
      <c r="O14" s="38">
        <f t="shared" ref="O14:T14" si="4">SUM(O11:O13)</f>
        <v>145539</v>
      </c>
      <c r="P14" s="20">
        <f t="shared" si="4"/>
        <v>146310</v>
      </c>
      <c r="Q14" s="20">
        <f t="shared" si="4"/>
        <v>147011</v>
      </c>
      <c r="R14" s="20">
        <f t="shared" si="4"/>
        <v>147623</v>
      </c>
      <c r="S14" s="20">
        <f t="shared" si="4"/>
        <v>148193</v>
      </c>
      <c r="T14" s="20">
        <f t="shared" si="4"/>
        <v>148831</v>
      </c>
      <c r="U14" s="21">
        <f>SUM(U11:U13)</f>
        <v>149609</v>
      </c>
      <c r="V14" s="22">
        <f>SUM(V11:V13)</f>
        <v>150543</v>
      </c>
    </row>
    <row r="15" spans="1:22" ht="22.5" customHeight="1" thickBot="1" x14ac:dyDescent="0.2">
      <c r="A15" s="39"/>
      <c r="B15" s="40" t="s">
        <v>30</v>
      </c>
      <c r="C15" s="41">
        <v>100.9</v>
      </c>
      <c r="D15" s="42">
        <f t="shared" ref="D15:Q15" si="5">ROUND((D14/C14)*100,1)</f>
        <v>101.2</v>
      </c>
      <c r="E15" s="42">
        <f t="shared" si="5"/>
        <v>100.7</v>
      </c>
      <c r="F15" s="42">
        <f>ROUND((F14/E14)*100,1)</f>
        <v>100.6</v>
      </c>
      <c r="G15" s="42">
        <f t="shared" si="5"/>
        <v>100.8</v>
      </c>
      <c r="H15" s="42">
        <f t="shared" si="5"/>
        <v>100.6</v>
      </c>
      <c r="I15" s="42">
        <f t="shared" si="5"/>
        <v>100.6</v>
      </c>
      <c r="J15" s="41">
        <f t="shared" si="5"/>
        <v>103.6</v>
      </c>
      <c r="K15" s="42">
        <f t="shared" si="5"/>
        <v>100.5</v>
      </c>
      <c r="L15" s="42">
        <f t="shared" si="5"/>
        <v>100.6</v>
      </c>
      <c r="M15" s="43">
        <f t="shared" si="5"/>
        <v>100.6</v>
      </c>
      <c r="N15" s="43">
        <f t="shared" si="5"/>
        <v>100.5</v>
      </c>
      <c r="O15" s="44">
        <f t="shared" si="5"/>
        <v>100.5</v>
      </c>
      <c r="P15" s="45">
        <f t="shared" si="5"/>
        <v>100.5</v>
      </c>
      <c r="Q15" s="45">
        <f t="shared" si="5"/>
        <v>100.5</v>
      </c>
      <c r="R15" s="45">
        <f>ROUND((R14/Q14)*100,1)</f>
        <v>100.4</v>
      </c>
      <c r="S15" s="45">
        <f>ROUND((S14/R14)*100,1)</f>
        <v>100.4</v>
      </c>
      <c r="T15" s="45">
        <f>ROUND((T14/S14)*100,1)</f>
        <v>100.4</v>
      </c>
      <c r="U15" s="46">
        <f>ROUND((U14/T14)*100,1)</f>
        <v>100.5</v>
      </c>
      <c r="V15" s="47">
        <f>ROUND((V14/U14)*100,1)</f>
        <v>100.6</v>
      </c>
    </row>
    <row r="16" spans="1:22" ht="22.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48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22.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22.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22.5" customHeight="1" x14ac:dyDescent="0.15">
      <c r="A19" s="2" t="s">
        <v>33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22.5" customHeight="1" thickBot="1" x14ac:dyDescent="0.2">
      <c r="A20" s="2"/>
      <c r="B20" s="2"/>
      <c r="C20" s="5"/>
      <c r="D20" s="5"/>
      <c r="E20" s="5"/>
      <c r="F20" s="5"/>
      <c r="G20" s="5"/>
      <c r="H20" s="5"/>
      <c r="I20" s="5"/>
      <c r="J20" s="5"/>
      <c r="K20" s="49"/>
      <c r="L20" s="5"/>
      <c r="M20" s="5"/>
      <c r="N20" s="5"/>
      <c r="O20" s="5"/>
      <c r="P20" s="5"/>
      <c r="Q20" s="5"/>
      <c r="R20" s="5"/>
      <c r="S20" s="5"/>
      <c r="T20" s="5"/>
      <c r="U20" s="5"/>
      <c r="V20" s="5" t="s">
        <v>34</v>
      </c>
    </row>
    <row r="21" spans="1:22" ht="22.5" customHeight="1" x14ac:dyDescent="0.15">
      <c r="A21" s="702" t="s">
        <v>3</v>
      </c>
      <c r="B21" s="703"/>
      <c r="C21" s="6" t="s">
        <v>4</v>
      </c>
      <c r="D21" s="7" t="s">
        <v>5</v>
      </c>
      <c r="E21" s="7" t="s">
        <v>6</v>
      </c>
      <c r="F21" s="7" t="s">
        <v>7</v>
      </c>
      <c r="G21" s="7" t="s">
        <v>8</v>
      </c>
      <c r="H21" s="7" t="s">
        <v>9</v>
      </c>
      <c r="I21" s="7" t="s">
        <v>10</v>
      </c>
      <c r="J21" s="6" t="s">
        <v>11</v>
      </c>
      <c r="K21" s="7" t="s">
        <v>12</v>
      </c>
      <c r="L21" s="7" t="s">
        <v>13</v>
      </c>
      <c r="M21" s="6" t="s">
        <v>35</v>
      </c>
      <c r="N21" s="6" t="s">
        <v>36</v>
      </c>
      <c r="O21" s="6" t="s">
        <v>37</v>
      </c>
      <c r="P21" s="6" t="s">
        <v>38</v>
      </c>
      <c r="Q21" s="6" t="s">
        <v>39</v>
      </c>
      <c r="R21" s="6" t="s">
        <v>40</v>
      </c>
      <c r="S21" s="6" t="s">
        <v>41</v>
      </c>
      <c r="T21" s="6" t="s">
        <v>42</v>
      </c>
      <c r="U21" s="7" t="s">
        <v>43</v>
      </c>
      <c r="V21" s="8" t="s">
        <v>44</v>
      </c>
    </row>
    <row r="22" spans="1:22" ht="22.5" customHeight="1" x14ac:dyDescent="0.15">
      <c r="A22" s="704" t="s">
        <v>45</v>
      </c>
      <c r="B22" s="34" t="s">
        <v>46</v>
      </c>
      <c r="C22" s="11">
        <v>109963</v>
      </c>
      <c r="D22" s="12">
        <v>111266</v>
      </c>
      <c r="E22" s="12">
        <v>115763</v>
      </c>
      <c r="F22" s="12">
        <v>116811</v>
      </c>
      <c r="G22" s="12">
        <v>118099</v>
      </c>
      <c r="H22" s="12">
        <v>119157</v>
      </c>
      <c r="I22" s="12">
        <v>120176</v>
      </c>
      <c r="J22" s="11">
        <v>120992</v>
      </c>
      <c r="K22" s="12">
        <v>121811</v>
      </c>
      <c r="L22" s="12">
        <v>122771</v>
      </c>
      <c r="M22" s="13">
        <v>116809</v>
      </c>
      <c r="N22" s="13">
        <v>117464</v>
      </c>
      <c r="O22" s="33">
        <v>118246</v>
      </c>
      <c r="P22" s="11">
        <v>119064</v>
      </c>
      <c r="Q22" s="11">
        <v>119623</v>
      </c>
      <c r="R22" s="11">
        <v>120415</v>
      </c>
      <c r="S22" s="11">
        <v>121059</v>
      </c>
      <c r="T22" s="11">
        <v>121823</v>
      </c>
      <c r="U22" s="12">
        <v>122460</v>
      </c>
      <c r="V22" s="14">
        <v>122952</v>
      </c>
    </row>
    <row r="23" spans="1:22" ht="22.5" customHeight="1" x14ac:dyDescent="0.15">
      <c r="A23" s="704"/>
      <c r="B23" s="34" t="s">
        <v>47</v>
      </c>
      <c r="C23" s="12">
        <v>107615</v>
      </c>
      <c r="D23" s="12">
        <v>109005</v>
      </c>
      <c r="E23" s="12">
        <v>113350</v>
      </c>
      <c r="F23" s="12">
        <v>114383</v>
      </c>
      <c r="G23" s="12">
        <v>116100</v>
      </c>
      <c r="H23" s="12">
        <v>117073</v>
      </c>
      <c r="I23" s="12">
        <v>117962</v>
      </c>
      <c r="J23" s="11">
        <v>118857</v>
      </c>
      <c r="K23" s="12">
        <v>119656</v>
      </c>
      <c r="L23" s="12">
        <v>120729</v>
      </c>
      <c r="M23" s="12">
        <v>121735</v>
      </c>
      <c r="N23" s="12">
        <v>122779</v>
      </c>
      <c r="O23" s="33">
        <v>123669</v>
      </c>
      <c r="P23" s="11">
        <v>124625</v>
      </c>
      <c r="Q23" s="11">
        <v>125632</v>
      </c>
      <c r="R23" s="11">
        <v>126485</v>
      </c>
      <c r="S23" s="11">
        <v>127311</v>
      </c>
      <c r="T23" s="11">
        <v>127782</v>
      </c>
      <c r="U23" s="12">
        <v>129380</v>
      </c>
      <c r="V23" s="14">
        <v>130310</v>
      </c>
    </row>
    <row r="24" spans="1:22" ht="22.5" customHeight="1" x14ac:dyDescent="0.15">
      <c r="A24" s="705"/>
      <c r="B24" s="50" t="s">
        <v>48</v>
      </c>
      <c r="C24" s="51">
        <v>3663</v>
      </c>
      <c r="D24" s="52">
        <v>3683</v>
      </c>
      <c r="E24" s="52">
        <v>3875</v>
      </c>
      <c r="F24" s="52">
        <v>3927</v>
      </c>
      <c r="G24" s="52">
        <v>3849</v>
      </c>
      <c r="H24" s="52">
        <v>3881</v>
      </c>
      <c r="I24" s="52">
        <v>3878</v>
      </c>
      <c r="J24" s="51">
        <v>3888</v>
      </c>
      <c r="K24" s="52">
        <v>3966</v>
      </c>
      <c r="L24" s="52">
        <v>3989</v>
      </c>
      <c r="M24" s="52">
        <v>4091</v>
      </c>
      <c r="N24" s="52">
        <v>4194</v>
      </c>
      <c r="O24" s="53">
        <v>4308</v>
      </c>
      <c r="P24" s="51">
        <v>4423</v>
      </c>
      <c r="Q24" s="51">
        <v>4587</v>
      </c>
      <c r="R24" s="51">
        <v>4734</v>
      </c>
      <c r="S24" s="51">
        <v>4927</v>
      </c>
      <c r="T24" s="51">
        <v>4557</v>
      </c>
      <c r="U24" s="52">
        <v>5211</v>
      </c>
      <c r="V24" s="54">
        <v>5295</v>
      </c>
    </row>
    <row r="25" spans="1:22" ht="22.5" customHeight="1" x14ac:dyDescent="0.15">
      <c r="A25" s="706" t="s">
        <v>31</v>
      </c>
      <c r="B25" s="31" t="s">
        <v>46</v>
      </c>
      <c r="C25" s="32">
        <v>99649</v>
      </c>
      <c r="D25" s="13">
        <v>101013</v>
      </c>
      <c r="E25" s="13">
        <v>101996</v>
      </c>
      <c r="F25" s="13">
        <v>102921</v>
      </c>
      <c r="G25" s="13">
        <v>104148</v>
      </c>
      <c r="H25" s="13">
        <v>105143</v>
      </c>
      <c r="I25" s="13">
        <v>106153</v>
      </c>
      <c r="J25" s="32">
        <v>110202</v>
      </c>
      <c r="K25" s="13">
        <v>111039</v>
      </c>
      <c r="L25" s="13">
        <v>112011</v>
      </c>
      <c r="M25" s="12">
        <v>106105</v>
      </c>
      <c r="N25" s="12">
        <v>106742</v>
      </c>
      <c r="O25" s="33">
        <v>107539</v>
      </c>
      <c r="P25" s="11">
        <v>108356</v>
      </c>
      <c r="Q25" s="11">
        <v>109003</v>
      </c>
      <c r="R25" s="11">
        <v>109799</v>
      </c>
      <c r="S25" s="11">
        <v>110459</v>
      </c>
      <c r="T25" s="11">
        <v>111248</v>
      </c>
      <c r="U25" s="12">
        <v>111924</v>
      </c>
      <c r="V25" s="14">
        <v>112447</v>
      </c>
    </row>
    <row r="26" spans="1:22" ht="22.5" customHeight="1" thickBot="1" x14ac:dyDescent="0.2">
      <c r="A26" s="707"/>
      <c r="B26" s="55" t="s">
        <v>47</v>
      </c>
      <c r="C26" s="56">
        <v>97260</v>
      </c>
      <c r="D26" s="57">
        <v>98702</v>
      </c>
      <c r="E26" s="57">
        <v>99710</v>
      </c>
      <c r="F26" s="57">
        <v>100662</v>
      </c>
      <c r="G26" s="57">
        <v>102218</v>
      </c>
      <c r="H26" s="57">
        <v>103115</v>
      </c>
      <c r="I26" s="57">
        <v>103964</v>
      </c>
      <c r="J26" s="56">
        <v>107941</v>
      </c>
      <c r="K26" s="57">
        <v>108761</v>
      </c>
      <c r="L26" s="57">
        <v>109813</v>
      </c>
      <c r="M26" s="57">
        <v>110769</v>
      </c>
      <c r="N26" s="57">
        <v>111772</v>
      </c>
      <c r="O26" s="58">
        <v>112643</v>
      </c>
      <c r="P26" s="56">
        <v>113609</v>
      </c>
      <c r="Q26" s="56">
        <v>114613</v>
      </c>
      <c r="R26" s="56">
        <v>115447</v>
      </c>
      <c r="S26" s="56">
        <v>116293</v>
      </c>
      <c r="T26" s="56">
        <v>116791</v>
      </c>
      <c r="U26" s="57">
        <v>118387</v>
      </c>
      <c r="V26" s="59">
        <v>119338</v>
      </c>
    </row>
  </sheetData>
  <mergeCells count="4">
    <mergeCell ref="A4:B4"/>
    <mergeCell ref="A21:B21"/>
    <mergeCell ref="A22:A24"/>
    <mergeCell ref="A25:A26"/>
  </mergeCells>
  <phoneticPr fontId="3"/>
  <printOptions horizontalCentered="1"/>
  <pageMargins left="0.59055118110236227" right="0.59055118110236227" top="0.39370078740157483" bottom="0.19685039370078741" header="0.59055118110236227" footer="0.19685039370078741"/>
  <pageSetup paperSize="9" scale="98" orientation="portrait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2E46B-E995-4C1B-9872-78218FD36289}">
  <sheetPr>
    <pageSetUpPr autoPageBreaks="0" fitToPage="1"/>
  </sheetPr>
  <dimension ref="A1:G79"/>
  <sheetViews>
    <sheetView showGridLines="0" view="pageBreakPreview" zoomScale="85" zoomScaleNormal="100" zoomScaleSheetLayoutView="85" workbookViewId="0">
      <selection activeCell="A2" sqref="A2"/>
    </sheetView>
  </sheetViews>
  <sheetFormatPr defaultRowHeight="18.75" customHeight="1" x14ac:dyDescent="0.15"/>
  <cols>
    <col min="1" max="1" width="11.125" style="418" bestFit="1" customWidth="1"/>
    <col min="2" max="2" width="15.375" style="418" bestFit="1" customWidth="1"/>
    <col min="3" max="3" width="13.625" style="418" bestFit="1" customWidth="1"/>
    <col min="4" max="4" width="15.375" style="418" bestFit="1" customWidth="1"/>
    <col min="5" max="7" width="9.125" style="418" bestFit="1" customWidth="1"/>
    <col min="8" max="256" width="9" style="418"/>
    <col min="257" max="257" width="11.125" style="418" bestFit="1" customWidth="1"/>
    <col min="258" max="258" width="15.375" style="418" bestFit="1" customWidth="1"/>
    <col min="259" max="259" width="13.625" style="418" bestFit="1" customWidth="1"/>
    <col min="260" max="260" width="15.375" style="418" bestFit="1" customWidth="1"/>
    <col min="261" max="263" width="9.125" style="418" bestFit="1" customWidth="1"/>
    <col min="264" max="512" width="9" style="418"/>
    <col min="513" max="513" width="11.125" style="418" bestFit="1" customWidth="1"/>
    <col min="514" max="514" width="15.375" style="418" bestFit="1" customWidth="1"/>
    <col min="515" max="515" width="13.625" style="418" bestFit="1" customWidth="1"/>
    <col min="516" max="516" width="15.375" style="418" bestFit="1" customWidth="1"/>
    <col min="517" max="519" width="9.125" style="418" bestFit="1" customWidth="1"/>
    <col min="520" max="768" width="9" style="418"/>
    <col min="769" max="769" width="11.125" style="418" bestFit="1" customWidth="1"/>
    <col min="770" max="770" width="15.375" style="418" bestFit="1" customWidth="1"/>
    <col min="771" max="771" width="13.625" style="418" bestFit="1" customWidth="1"/>
    <col min="772" max="772" width="15.375" style="418" bestFit="1" customWidth="1"/>
    <col min="773" max="775" width="9.125" style="418" bestFit="1" customWidth="1"/>
    <col min="776" max="1024" width="9" style="418"/>
    <col min="1025" max="1025" width="11.125" style="418" bestFit="1" customWidth="1"/>
    <col min="1026" max="1026" width="15.375" style="418" bestFit="1" customWidth="1"/>
    <col min="1027" max="1027" width="13.625" style="418" bestFit="1" customWidth="1"/>
    <col min="1028" max="1028" width="15.375" style="418" bestFit="1" customWidth="1"/>
    <col min="1029" max="1031" width="9.125" style="418" bestFit="1" customWidth="1"/>
    <col min="1032" max="1280" width="9" style="418"/>
    <col min="1281" max="1281" width="11.125" style="418" bestFit="1" customWidth="1"/>
    <col min="1282" max="1282" width="15.375" style="418" bestFit="1" customWidth="1"/>
    <col min="1283" max="1283" width="13.625" style="418" bestFit="1" customWidth="1"/>
    <col min="1284" max="1284" width="15.375" style="418" bestFit="1" customWidth="1"/>
    <col min="1285" max="1287" width="9.125" style="418" bestFit="1" customWidth="1"/>
    <col min="1288" max="1536" width="9" style="418"/>
    <col min="1537" max="1537" width="11.125" style="418" bestFit="1" customWidth="1"/>
    <col min="1538" max="1538" width="15.375" style="418" bestFit="1" customWidth="1"/>
    <col min="1539" max="1539" width="13.625" style="418" bestFit="1" customWidth="1"/>
    <col min="1540" max="1540" width="15.375" style="418" bestFit="1" customWidth="1"/>
    <col min="1541" max="1543" width="9.125" style="418" bestFit="1" customWidth="1"/>
    <col min="1544" max="1792" width="9" style="418"/>
    <col min="1793" max="1793" width="11.125" style="418" bestFit="1" customWidth="1"/>
    <col min="1794" max="1794" width="15.375" style="418" bestFit="1" customWidth="1"/>
    <col min="1795" max="1795" width="13.625" style="418" bestFit="1" customWidth="1"/>
    <col min="1796" max="1796" width="15.375" style="418" bestFit="1" customWidth="1"/>
    <col min="1797" max="1799" width="9.125" style="418" bestFit="1" customWidth="1"/>
    <col min="1800" max="2048" width="9" style="418"/>
    <col min="2049" max="2049" width="11.125" style="418" bestFit="1" customWidth="1"/>
    <col min="2050" max="2050" width="15.375" style="418" bestFit="1" customWidth="1"/>
    <col min="2051" max="2051" width="13.625" style="418" bestFit="1" customWidth="1"/>
    <col min="2052" max="2052" width="15.375" style="418" bestFit="1" customWidth="1"/>
    <col min="2053" max="2055" width="9.125" style="418" bestFit="1" customWidth="1"/>
    <col min="2056" max="2304" width="9" style="418"/>
    <col min="2305" max="2305" width="11.125" style="418" bestFit="1" customWidth="1"/>
    <col min="2306" max="2306" width="15.375" style="418" bestFit="1" customWidth="1"/>
    <col min="2307" max="2307" width="13.625" style="418" bestFit="1" customWidth="1"/>
    <col min="2308" max="2308" width="15.375" style="418" bestFit="1" customWidth="1"/>
    <col min="2309" max="2311" width="9.125" style="418" bestFit="1" customWidth="1"/>
    <col min="2312" max="2560" width="9" style="418"/>
    <col min="2561" max="2561" width="11.125" style="418" bestFit="1" customWidth="1"/>
    <col min="2562" max="2562" width="15.375" style="418" bestFit="1" customWidth="1"/>
    <col min="2563" max="2563" width="13.625" style="418" bestFit="1" customWidth="1"/>
    <col min="2564" max="2564" width="15.375" style="418" bestFit="1" customWidth="1"/>
    <col min="2565" max="2567" width="9.125" style="418" bestFit="1" customWidth="1"/>
    <col min="2568" max="2816" width="9" style="418"/>
    <col min="2817" max="2817" width="11.125" style="418" bestFit="1" customWidth="1"/>
    <col min="2818" max="2818" width="15.375" style="418" bestFit="1" customWidth="1"/>
    <col min="2819" max="2819" width="13.625" style="418" bestFit="1" customWidth="1"/>
    <col min="2820" max="2820" width="15.375" style="418" bestFit="1" customWidth="1"/>
    <col min="2821" max="2823" width="9.125" style="418" bestFit="1" customWidth="1"/>
    <col min="2824" max="3072" width="9" style="418"/>
    <col min="3073" max="3073" width="11.125" style="418" bestFit="1" customWidth="1"/>
    <col min="3074" max="3074" width="15.375" style="418" bestFit="1" customWidth="1"/>
    <col min="3075" max="3075" width="13.625" style="418" bestFit="1" customWidth="1"/>
    <col min="3076" max="3076" width="15.375" style="418" bestFit="1" customWidth="1"/>
    <col min="3077" max="3079" width="9.125" style="418" bestFit="1" customWidth="1"/>
    <col min="3080" max="3328" width="9" style="418"/>
    <col min="3329" max="3329" width="11.125" style="418" bestFit="1" customWidth="1"/>
    <col min="3330" max="3330" width="15.375" style="418" bestFit="1" customWidth="1"/>
    <col min="3331" max="3331" width="13.625" style="418" bestFit="1" customWidth="1"/>
    <col min="3332" max="3332" width="15.375" style="418" bestFit="1" customWidth="1"/>
    <col min="3333" max="3335" width="9.125" style="418" bestFit="1" customWidth="1"/>
    <col min="3336" max="3584" width="9" style="418"/>
    <col min="3585" max="3585" width="11.125" style="418" bestFit="1" customWidth="1"/>
    <col min="3586" max="3586" width="15.375" style="418" bestFit="1" customWidth="1"/>
    <col min="3587" max="3587" width="13.625" style="418" bestFit="1" customWidth="1"/>
    <col min="3588" max="3588" width="15.375" style="418" bestFit="1" customWidth="1"/>
    <col min="3589" max="3591" width="9.125" style="418" bestFit="1" customWidth="1"/>
    <col min="3592" max="3840" width="9" style="418"/>
    <col min="3841" max="3841" width="11.125" style="418" bestFit="1" customWidth="1"/>
    <col min="3842" max="3842" width="15.375" style="418" bestFit="1" customWidth="1"/>
    <col min="3843" max="3843" width="13.625" style="418" bestFit="1" customWidth="1"/>
    <col min="3844" max="3844" width="15.375" style="418" bestFit="1" customWidth="1"/>
    <col min="3845" max="3847" width="9.125" style="418" bestFit="1" customWidth="1"/>
    <col min="3848" max="4096" width="9" style="418"/>
    <col min="4097" max="4097" width="11.125" style="418" bestFit="1" customWidth="1"/>
    <col min="4098" max="4098" width="15.375" style="418" bestFit="1" customWidth="1"/>
    <col min="4099" max="4099" width="13.625" style="418" bestFit="1" customWidth="1"/>
    <col min="4100" max="4100" width="15.375" style="418" bestFit="1" customWidth="1"/>
    <col min="4101" max="4103" width="9.125" style="418" bestFit="1" customWidth="1"/>
    <col min="4104" max="4352" width="9" style="418"/>
    <col min="4353" max="4353" width="11.125" style="418" bestFit="1" customWidth="1"/>
    <col min="4354" max="4354" width="15.375" style="418" bestFit="1" customWidth="1"/>
    <col min="4355" max="4355" width="13.625" style="418" bestFit="1" customWidth="1"/>
    <col min="4356" max="4356" width="15.375" style="418" bestFit="1" customWidth="1"/>
    <col min="4357" max="4359" width="9.125" style="418" bestFit="1" customWidth="1"/>
    <col min="4360" max="4608" width="9" style="418"/>
    <col min="4609" max="4609" width="11.125" style="418" bestFit="1" customWidth="1"/>
    <col min="4610" max="4610" width="15.375" style="418" bestFit="1" customWidth="1"/>
    <col min="4611" max="4611" width="13.625" style="418" bestFit="1" customWidth="1"/>
    <col min="4612" max="4612" width="15.375" style="418" bestFit="1" customWidth="1"/>
    <col min="4613" max="4615" width="9.125" style="418" bestFit="1" customWidth="1"/>
    <col min="4616" max="4864" width="9" style="418"/>
    <col min="4865" max="4865" width="11.125" style="418" bestFit="1" customWidth="1"/>
    <col min="4866" max="4866" width="15.375" style="418" bestFit="1" customWidth="1"/>
    <col min="4867" max="4867" width="13.625" style="418" bestFit="1" customWidth="1"/>
    <col min="4868" max="4868" width="15.375" style="418" bestFit="1" customWidth="1"/>
    <col min="4869" max="4871" width="9.125" style="418" bestFit="1" customWidth="1"/>
    <col min="4872" max="5120" width="9" style="418"/>
    <col min="5121" max="5121" width="11.125" style="418" bestFit="1" customWidth="1"/>
    <col min="5122" max="5122" width="15.375" style="418" bestFit="1" customWidth="1"/>
    <col min="5123" max="5123" width="13.625" style="418" bestFit="1" customWidth="1"/>
    <col min="5124" max="5124" width="15.375" style="418" bestFit="1" customWidth="1"/>
    <col min="5125" max="5127" width="9.125" style="418" bestFit="1" customWidth="1"/>
    <col min="5128" max="5376" width="9" style="418"/>
    <col min="5377" max="5377" width="11.125" style="418" bestFit="1" customWidth="1"/>
    <col min="5378" max="5378" width="15.375" style="418" bestFit="1" customWidth="1"/>
    <col min="5379" max="5379" width="13.625" style="418" bestFit="1" customWidth="1"/>
    <col min="5380" max="5380" width="15.375" style="418" bestFit="1" customWidth="1"/>
    <col min="5381" max="5383" width="9.125" style="418" bestFit="1" customWidth="1"/>
    <col min="5384" max="5632" width="9" style="418"/>
    <col min="5633" max="5633" width="11.125" style="418" bestFit="1" customWidth="1"/>
    <col min="5634" max="5634" width="15.375" style="418" bestFit="1" customWidth="1"/>
    <col min="5635" max="5635" width="13.625" style="418" bestFit="1" customWidth="1"/>
    <col min="5636" max="5636" width="15.375" style="418" bestFit="1" customWidth="1"/>
    <col min="5637" max="5639" width="9.125" style="418" bestFit="1" customWidth="1"/>
    <col min="5640" max="5888" width="9" style="418"/>
    <col min="5889" max="5889" width="11.125" style="418" bestFit="1" customWidth="1"/>
    <col min="5890" max="5890" width="15.375" style="418" bestFit="1" customWidth="1"/>
    <col min="5891" max="5891" width="13.625" style="418" bestFit="1" customWidth="1"/>
    <col min="5892" max="5892" width="15.375" style="418" bestFit="1" customWidth="1"/>
    <col min="5893" max="5895" width="9.125" style="418" bestFit="1" customWidth="1"/>
    <col min="5896" max="6144" width="9" style="418"/>
    <col min="6145" max="6145" width="11.125" style="418" bestFit="1" customWidth="1"/>
    <col min="6146" max="6146" width="15.375" style="418" bestFit="1" customWidth="1"/>
    <col min="6147" max="6147" width="13.625" style="418" bestFit="1" customWidth="1"/>
    <col min="6148" max="6148" width="15.375" style="418" bestFit="1" customWidth="1"/>
    <col min="6149" max="6151" width="9.125" style="418" bestFit="1" customWidth="1"/>
    <col min="6152" max="6400" width="9" style="418"/>
    <col min="6401" max="6401" width="11.125" style="418" bestFit="1" customWidth="1"/>
    <col min="6402" max="6402" width="15.375" style="418" bestFit="1" customWidth="1"/>
    <col min="6403" max="6403" width="13.625" style="418" bestFit="1" customWidth="1"/>
    <col min="6404" max="6404" width="15.375" style="418" bestFit="1" customWidth="1"/>
    <col min="6405" max="6407" width="9.125" style="418" bestFit="1" customWidth="1"/>
    <col min="6408" max="6656" width="9" style="418"/>
    <col min="6657" max="6657" width="11.125" style="418" bestFit="1" customWidth="1"/>
    <col min="6658" max="6658" width="15.375" style="418" bestFit="1" customWidth="1"/>
    <col min="6659" max="6659" width="13.625" style="418" bestFit="1" customWidth="1"/>
    <col min="6660" max="6660" width="15.375" style="418" bestFit="1" customWidth="1"/>
    <col min="6661" max="6663" width="9.125" style="418" bestFit="1" customWidth="1"/>
    <col min="6664" max="6912" width="9" style="418"/>
    <col min="6913" max="6913" width="11.125" style="418" bestFit="1" customWidth="1"/>
    <col min="6914" max="6914" width="15.375" style="418" bestFit="1" customWidth="1"/>
    <col min="6915" max="6915" width="13.625" style="418" bestFit="1" customWidth="1"/>
    <col min="6916" max="6916" width="15.375" style="418" bestFit="1" customWidth="1"/>
    <col min="6917" max="6919" width="9.125" style="418" bestFit="1" customWidth="1"/>
    <col min="6920" max="7168" width="9" style="418"/>
    <col min="7169" max="7169" width="11.125" style="418" bestFit="1" customWidth="1"/>
    <col min="7170" max="7170" width="15.375" style="418" bestFit="1" customWidth="1"/>
    <col min="7171" max="7171" width="13.625" style="418" bestFit="1" customWidth="1"/>
    <col min="7172" max="7172" width="15.375" style="418" bestFit="1" customWidth="1"/>
    <col min="7173" max="7175" width="9.125" style="418" bestFit="1" customWidth="1"/>
    <col min="7176" max="7424" width="9" style="418"/>
    <col min="7425" max="7425" width="11.125" style="418" bestFit="1" customWidth="1"/>
    <col min="7426" max="7426" width="15.375" style="418" bestFit="1" customWidth="1"/>
    <col min="7427" max="7427" width="13.625" style="418" bestFit="1" customWidth="1"/>
    <col min="7428" max="7428" width="15.375" style="418" bestFit="1" customWidth="1"/>
    <col min="7429" max="7431" width="9.125" style="418" bestFit="1" customWidth="1"/>
    <col min="7432" max="7680" width="9" style="418"/>
    <col min="7681" max="7681" width="11.125" style="418" bestFit="1" customWidth="1"/>
    <col min="7682" max="7682" width="15.375" style="418" bestFit="1" customWidth="1"/>
    <col min="7683" max="7683" width="13.625" style="418" bestFit="1" customWidth="1"/>
    <col min="7684" max="7684" width="15.375" style="418" bestFit="1" customWidth="1"/>
    <col min="7685" max="7687" width="9.125" style="418" bestFit="1" customWidth="1"/>
    <col min="7688" max="7936" width="9" style="418"/>
    <col min="7937" max="7937" width="11.125" style="418" bestFit="1" customWidth="1"/>
    <col min="7938" max="7938" width="15.375" style="418" bestFit="1" customWidth="1"/>
    <col min="7939" max="7939" width="13.625" style="418" bestFit="1" customWidth="1"/>
    <col min="7940" max="7940" width="15.375" style="418" bestFit="1" customWidth="1"/>
    <col min="7941" max="7943" width="9.125" style="418" bestFit="1" customWidth="1"/>
    <col min="7944" max="8192" width="9" style="418"/>
    <col min="8193" max="8193" width="11.125" style="418" bestFit="1" customWidth="1"/>
    <col min="8194" max="8194" width="15.375" style="418" bestFit="1" customWidth="1"/>
    <col min="8195" max="8195" width="13.625" style="418" bestFit="1" customWidth="1"/>
    <col min="8196" max="8196" width="15.375" style="418" bestFit="1" customWidth="1"/>
    <col min="8197" max="8199" width="9.125" style="418" bestFit="1" customWidth="1"/>
    <col min="8200" max="8448" width="9" style="418"/>
    <col min="8449" max="8449" width="11.125" style="418" bestFit="1" customWidth="1"/>
    <col min="8450" max="8450" width="15.375" style="418" bestFit="1" customWidth="1"/>
    <col min="8451" max="8451" width="13.625" style="418" bestFit="1" customWidth="1"/>
    <col min="8452" max="8452" width="15.375" style="418" bestFit="1" customWidth="1"/>
    <col min="8453" max="8455" width="9.125" style="418" bestFit="1" customWidth="1"/>
    <col min="8456" max="8704" width="9" style="418"/>
    <col min="8705" max="8705" width="11.125" style="418" bestFit="1" customWidth="1"/>
    <col min="8706" max="8706" width="15.375" style="418" bestFit="1" customWidth="1"/>
    <col min="8707" max="8707" width="13.625" style="418" bestFit="1" customWidth="1"/>
    <col min="8708" max="8708" width="15.375" style="418" bestFit="1" customWidth="1"/>
    <col min="8709" max="8711" width="9.125" style="418" bestFit="1" customWidth="1"/>
    <col min="8712" max="8960" width="9" style="418"/>
    <col min="8961" max="8961" width="11.125" style="418" bestFit="1" customWidth="1"/>
    <col min="8962" max="8962" width="15.375" style="418" bestFit="1" customWidth="1"/>
    <col min="8963" max="8963" width="13.625" style="418" bestFit="1" customWidth="1"/>
    <col min="8964" max="8964" width="15.375" style="418" bestFit="1" customWidth="1"/>
    <col min="8965" max="8967" width="9.125" style="418" bestFit="1" customWidth="1"/>
    <col min="8968" max="9216" width="9" style="418"/>
    <col min="9217" max="9217" width="11.125" style="418" bestFit="1" customWidth="1"/>
    <col min="9218" max="9218" width="15.375" style="418" bestFit="1" customWidth="1"/>
    <col min="9219" max="9219" width="13.625" style="418" bestFit="1" customWidth="1"/>
    <col min="9220" max="9220" width="15.375" style="418" bestFit="1" customWidth="1"/>
    <col min="9221" max="9223" width="9.125" style="418" bestFit="1" customWidth="1"/>
    <col min="9224" max="9472" width="9" style="418"/>
    <col min="9473" max="9473" width="11.125" style="418" bestFit="1" customWidth="1"/>
    <col min="9474" max="9474" width="15.375" style="418" bestFit="1" customWidth="1"/>
    <col min="9475" max="9475" width="13.625" style="418" bestFit="1" customWidth="1"/>
    <col min="9476" max="9476" width="15.375" style="418" bestFit="1" customWidth="1"/>
    <col min="9477" max="9479" width="9.125" style="418" bestFit="1" customWidth="1"/>
    <col min="9480" max="9728" width="9" style="418"/>
    <col min="9729" max="9729" width="11.125" style="418" bestFit="1" customWidth="1"/>
    <col min="9730" max="9730" width="15.375" style="418" bestFit="1" customWidth="1"/>
    <col min="9731" max="9731" width="13.625" style="418" bestFit="1" customWidth="1"/>
    <col min="9732" max="9732" width="15.375" style="418" bestFit="1" customWidth="1"/>
    <col min="9733" max="9735" width="9.125" style="418" bestFit="1" customWidth="1"/>
    <col min="9736" max="9984" width="9" style="418"/>
    <col min="9985" max="9985" width="11.125" style="418" bestFit="1" customWidth="1"/>
    <col min="9986" max="9986" width="15.375" style="418" bestFit="1" customWidth="1"/>
    <col min="9987" max="9987" width="13.625" style="418" bestFit="1" customWidth="1"/>
    <col min="9988" max="9988" width="15.375" style="418" bestFit="1" customWidth="1"/>
    <col min="9989" max="9991" width="9.125" style="418" bestFit="1" customWidth="1"/>
    <col min="9992" max="10240" width="9" style="418"/>
    <col min="10241" max="10241" width="11.125" style="418" bestFit="1" customWidth="1"/>
    <col min="10242" max="10242" width="15.375" style="418" bestFit="1" customWidth="1"/>
    <col min="10243" max="10243" width="13.625" style="418" bestFit="1" customWidth="1"/>
    <col min="10244" max="10244" width="15.375" style="418" bestFit="1" customWidth="1"/>
    <col min="10245" max="10247" width="9.125" style="418" bestFit="1" customWidth="1"/>
    <col min="10248" max="10496" width="9" style="418"/>
    <col min="10497" max="10497" width="11.125" style="418" bestFit="1" customWidth="1"/>
    <col min="10498" max="10498" width="15.375" style="418" bestFit="1" customWidth="1"/>
    <col min="10499" max="10499" width="13.625" style="418" bestFit="1" customWidth="1"/>
    <col min="10500" max="10500" width="15.375" style="418" bestFit="1" customWidth="1"/>
    <col min="10501" max="10503" width="9.125" style="418" bestFit="1" customWidth="1"/>
    <col min="10504" max="10752" width="9" style="418"/>
    <col min="10753" max="10753" width="11.125" style="418" bestFit="1" customWidth="1"/>
    <col min="10754" max="10754" width="15.375" style="418" bestFit="1" customWidth="1"/>
    <col min="10755" max="10755" width="13.625" style="418" bestFit="1" customWidth="1"/>
    <col min="10756" max="10756" width="15.375" style="418" bestFit="1" customWidth="1"/>
    <col min="10757" max="10759" width="9.125" style="418" bestFit="1" customWidth="1"/>
    <col min="10760" max="11008" width="9" style="418"/>
    <col min="11009" max="11009" width="11.125" style="418" bestFit="1" customWidth="1"/>
    <col min="11010" max="11010" width="15.375" style="418" bestFit="1" customWidth="1"/>
    <col min="11011" max="11011" width="13.625" style="418" bestFit="1" customWidth="1"/>
    <col min="11012" max="11012" width="15.375" style="418" bestFit="1" customWidth="1"/>
    <col min="11013" max="11015" width="9.125" style="418" bestFit="1" customWidth="1"/>
    <col min="11016" max="11264" width="9" style="418"/>
    <col min="11265" max="11265" width="11.125" style="418" bestFit="1" customWidth="1"/>
    <col min="11266" max="11266" width="15.375" style="418" bestFit="1" customWidth="1"/>
    <col min="11267" max="11267" width="13.625" style="418" bestFit="1" customWidth="1"/>
    <col min="11268" max="11268" width="15.375" style="418" bestFit="1" customWidth="1"/>
    <col min="11269" max="11271" width="9.125" style="418" bestFit="1" customWidth="1"/>
    <col min="11272" max="11520" width="9" style="418"/>
    <col min="11521" max="11521" width="11.125" style="418" bestFit="1" customWidth="1"/>
    <col min="11522" max="11522" width="15.375" style="418" bestFit="1" customWidth="1"/>
    <col min="11523" max="11523" width="13.625" style="418" bestFit="1" customWidth="1"/>
    <col min="11524" max="11524" width="15.375" style="418" bestFit="1" customWidth="1"/>
    <col min="11525" max="11527" width="9.125" style="418" bestFit="1" customWidth="1"/>
    <col min="11528" max="11776" width="9" style="418"/>
    <col min="11777" max="11777" width="11.125" style="418" bestFit="1" customWidth="1"/>
    <col min="11778" max="11778" width="15.375" style="418" bestFit="1" customWidth="1"/>
    <col min="11779" max="11779" width="13.625" style="418" bestFit="1" customWidth="1"/>
    <col min="11780" max="11780" width="15.375" style="418" bestFit="1" customWidth="1"/>
    <col min="11781" max="11783" width="9.125" style="418" bestFit="1" customWidth="1"/>
    <col min="11784" max="12032" width="9" style="418"/>
    <col min="12033" max="12033" width="11.125" style="418" bestFit="1" customWidth="1"/>
    <col min="12034" max="12034" width="15.375" style="418" bestFit="1" customWidth="1"/>
    <col min="12035" max="12035" width="13.625" style="418" bestFit="1" customWidth="1"/>
    <col min="12036" max="12036" width="15.375" style="418" bestFit="1" customWidth="1"/>
    <col min="12037" max="12039" width="9.125" style="418" bestFit="1" customWidth="1"/>
    <col min="12040" max="12288" width="9" style="418"/>
    <col min="12289" max="12289" width="11.125" style="418" bestFit="1" customWidth="1"/>
    <col min="12290" max="12290" width="15.375" style="418" bestFit="1" customWidth="1"/>
    <col min="12291" max="12291" width="13.625" style="418" bestFit="1" customWidth="1"/>
    <col min="12292" max="12292" width="15.375" style="418" bestFit="1" customWidth="1"/>
    <col min="12293" max="12295" width="9.125" style="418" bestFit="1" customWidth="1"/>
    <col min="12296" max="12544" width="9" style="418"/>
    <col min="12545" max="12545" width="11.125" style="418" bestFit="1" customWidth="1"/>
    <col min="12546" max="12546" width="15.375" style="418" bestFit="1" customWidth="1"/>
    <col min="12547" max="12547" width="13.625" style="418" bestFit="1" customWidth="1"/>
    <col min="12548" max="12548" width="15.375" style="418" bestFit="1" customWidth="1"/>
    <col min="12549" max="12551" width="9.125" style="418" bestFit="1" customWidth="1"/>
    <col min="12552" max="12800" width="9" style="418"/>
    <col min="12801" max="12801" width="11.125" style="418" bestFit="1" customWidth="1"/>
    <col min="12802" max="12802" width="15.375" style="418" bestFit="1" customWidth="1"/>
    <col min="12803" max="12803" width="13.625" style="418" bestFit="1" customWidth="1"/>
    <col min="12804" max="12804" width="15.375" style="418" bestFit="1" customWidth="1"/>
    <col min="12805" max="12807" width="9.125" style="418" bestFit="1" customWidth="1"/>
    <col min="12808" max="13056" width="9" style="418"/>
    <col min="13057" max="13057" width="11.125" style="418" bestFit="1" customWidth="1"/>
    <col min="13058" max="13058" width="15.375" style="418" bestFit="1" customWidth="1"/>
    <col min="13059" max="13059" width="13.625" style="418" bestFit="1" customWidth="1"/>
    <col min="13060" max="13060" width="15.375" style="418" bestFit="1" customWidth="1"/>
    <col min="13061" max="13063" width="9.125" style="418" bestFit="1" customWidth="1"/>
    <col min="13064" max="13312" width="9" style="418"/>
    <col min="13313" max="13313" width="11.125" style="418" bestFit="1" customWidth="1"/>
    <col min="13314" max="13314" width="15.375" style="418" bestFit="1" customWidth="1"/>
    <col min="13315" max="13315" width="13.625" style="418" bestFit="1" customWidth="1"/>
    <col min="13316" max="13316" width="15.375" style="418" bestFit="1" customWidth="1"/>
    <col min="13317" max="13319" width="9.125" style="418" bestFit="1" customWidth="1"/>
    <col min="13320" max="13568" width="9" style="418"/>
    <col min="13569" max="13569" width="11.125" style="418" bestFit="1" customWidth="1"/>
    <col min="13570" max="13570" width="15.375" style="418" bestFit="1" customWidth="1"/>
    <col min="13571" max="13571" width="13.625" style="418" bestFit="1" customWidth="1"/>
    <col min="13572" max="13572" width="15.375" style="418" bestFit="1" customWidth="1"/>
    <col min="13573" max="13575" width="9.125" style="418" bestFit="1" customWidth="1"/>
    <col min="13576" max="13824" width="9" style="418"/>
    <col min="13825" max="13825" width="11.125" style="418" bestFit="1" customWidth="1"/>
    <col min="13826" max="13826" width="15.375" style="418" bestFit="1" customWidth="1"/>
    <col min="13827" max="13827" width="13.625" style="418" bestFit="1" customWidth="1"/>
    <col min="13828" max="13828" width="15.375" style="418" bestFit="1" customWidth="1"/>
    <col min="13829" max="13831" width="9.125" style="418" bestFit="1" customWidth="1"/>
    <col min="13832" max="14080" width="9" style="418"/>
    <col min="14081" max="14081" width="11.125" style="418" bestFit="1" customWidth="1"/>
    <col min="14082" max="14082" width="15.375" style="418" bestFit="1" customWidth="1"/>
    <col min="14083" max="14083" width="13.625" style="418" bestFit="1" customWidth="1"/>
    <col min="14084" max="14084" width="15.375" style="418" bestFit="1" customWidth="1"/>
    <col min="14085" max="14087" width="9.125" style="418" bestFit="1" customWidth="1"/>
    <col min="14088" max="14336" width="9" style="418"/>
    <col min="14337" max="14337" width="11.125" style="418" bestFit="1" customWidth="1"/>
    <col min="14338" max="14338" width="15.375" style="418" bestFit="1" customWidth="1"/>
    <col min="14339" max="14339" width="13.625" style="418" bestFit="1" customWidth="1"/>
    <col min="14340" max="14340" width="15.375" style="418" bestFit="1" customWidth="1"/>
    <col min="14341" max="14343" width="9.125" style="418" bestFit="1" customWidth="1"/>
    <col min="14344" max="14592" width="9" style="418"/>
    <col min="14593" max="14593" width="11.125" style="418" bestFit="1" customWidth="1"/>
    <col min="14594" max="14594" width="15.375" style="418" bestFit="1" customWidth="1"/>
    <col min="14595" max="14595" width="13.625" style="418" bestFit="1" customWidth="1"/>
    <col min="14596" max="14596" width="15.375" style="418" bestFit="1" customWidth="1"/>
    <col min="14597" max="14599" width="9.125" style="418" bestFit="1" customWidth="1"/>
    <col min="14600" max="14848" width="9" style="418"/>
    <col min="14849" max="14849" width="11.125" style="418" bestFit="1" customWidth="1"/>
    <col min="14850" max="14850" width="15.375" style="418" bestFit="1" customWidth="1"/>
    <col min="14851" max="14851" width="13.625" style="418" bestFit="1" customWidth="1"/>
    <col min="14852" max="14852" width="15.375" style="418" bestFit="1" customWidth="1"/>
    <col min="14853" max="14855" width="9.125" style="418" bestFit="1" customWidth="1"/>
    <col min="14856" max="15104" width="9" style="418"/>
    <col min="15105" max="15105" width="11.125" style="418" bestFit="1" customWidth="1"/>
    <col min="15106" max="15106" width="15.375" style="418" bestFit="1" customWidth="1"/>
    <col min="15107" max="15107" width="13.625" style="418" bestFit="1" customWidth="1"/>
    <col min="15108" max="15108" width="15.375" style="418" bestFit="1" customWidth="1"/>
    <col min="15109" max="15111" width="9.125" style="418" bestFit="1" customWidth="1"/>
    <col min="15112" max="15360" width="9" style="418"/>
    <col min="15361" max="15361" width="11.125" style="418" bestFit="1" customWidth="1"/>
    <col min="15362" max="15362" width="15.375" style="418" bestFit="1" customWidth="1"/>
    <col min="15363" max="15363" width="13.625" style="418" bestFit="1" customWidth="1"/>
    <col min="15364" max="15364" width="15.375" style="418" bestFit="1" customWidth="1"/>
    <col min="15365" max="15367" width="9.125" style="418" bestFit="1" customWidth="1"/>
    <col min="15368" max="15616" width="9" style="418"/>
    <col min="15617" max="15617" width="11.125" style="418" bestFit="1" customWidth="1"/>
    <col min="15618" max="15618" width="15.375" style="418" bestFit="1" customWidth="1"/>
    <col min="15619" max="15619" width="13.625" style="418" bestFit="1" customWidth="1"/>
    <col min="15620" max="15620" width="15.375" style="418" bestFit="1" customWidth="1"/>
    <col min="15621" max="15623" width="9.125" style="418" bestFit="1" customWidth="1"/>
    <col min="15624" max="15872" width="9" style="418"/>
    <col min="15873" max="15873" width="11.125" style="418" bestFit="1" customWidth="1"/>
    <col min="15874" max="15874" width="15.375" style="418" bestFit="1" customWidth="1"/>
    <col min="15875" max="15875" width="13.625" style="418" bestFit="1" customWidth="1"/>
    <col min="15876" max="15876" width="15.375" style="418" bestFit="1" customWidth="1"/>
    <col min="15877" max="15879" width="9.125" style="418" bestFit="1" customWidth="1"/>
    <col min="15880" max="16128" width="9" style="418"/>
    <col min="16129" max="16129" width="11.125" style="418" bestFit="1" customWidth="1"/>
    <col min="16130" max="16130" width="15.375" style="418" bestFit="1" customWidth="1"/>
    <col min="16131" max="16131" width="13.625" style="418" bestFit="1" customWidth="1"/>
    <col min="16132" max="16132" width="15.375" style="418" bestFit="1" customWidth="1"/>
    <col min="16133" max="16135" width="9.125" style="418" bestFit="1" customWidth="1"/>
    <col min="16136" max="16384" width="9" style="418"/>
  </cols>
  <sheetData>
    <row r="1" spans="1:7" ht="17.25" customHeight="1" x14ac:dyDescent="0.15">
      <c r="A1" s="1"/>
      <c r="B1" s="417"/>
      <c r="C1" s="417"/>
      <c r="D1" s="417"/>
      <c r="E1" s="417"/>
      <c r="F1" s="417"/>
      <c r="G1" s="417"/>
    </row>
    <row r="2" spans="1:7" ht="27" customHeight="1" x14ac:dyDescent="0.15">
      <c r="A2" s="419" t="s">
        <v>351</v>
      </c>
      <c r="B2" s="417"/>
      <c r="C2" s="417"/>
      <c r="D2" s="417"/>
      <c r="E2" s="417"/>
      <c r="F2" s="417"/>
      <c r="G2" s="417"/>
    </row>
    <row r="3" spans="1:7" s="62" customFormat="1" ht="28.5" customHeight="1" thickBot="1" x14ac:dyDescent="0.2">
      <c r="A3" s="61" t="s">
        <v>352</v>
      </c>
      <c r="B3" s="61"/>
      <c r="C3" s="61"/>
      <c r="D3" s="61"/>
      <c r="E3" s="61"/>
      <c r="F3" s="61"/>
      <c r="G3" s="65" t="s">
        <v>353</v>
      </c>
    </row>
    <row r="4" spans="1:7" ht="17.25" customHeight="1" x14ac:dyDescent="0.15">
      <c r="A4" s="845" t="s">
        <v>3</v>
      </c>
      <c r="B4" s="846" t="s">
        <v>354</v>
      </c>
      <c r="C4" s="848" t="s">
        <v>355</v>
      </c>
      <c r="D4" s="846" t="s">
        <v>29</v>
      </c>
      <c r="E4" s="804" t="s">
        <v>69</v>
      </c>
      <c r="F4" s="809"/>
      <c r="G4" s="849"/>
    </row>
    <row r="5" spans="1:7" ht="17.25" customHeight="1" x14ac:dyDescent="0.15">
      <c r="A5" s="755"/>
      <c r="B5" s="847"/>
      <c r="C5" s="847"/>
      <c r="D5" s="847"/>
      <c r="E5" s="658" t="s">
        <v>356</v>
      </c>
      <c r="F5" s="658" t="s">
        <v>356</v>
      </c>
      <c r="G5" s="850" t="s">
        <v>29</v>
      </c>
    </row>
    <row r="6" spans="1:7" ht="15.75" customHeight="1" x14ac:dyDescent="0.15">
      <c r="A6" s="756"/>
      <c r="B6" s="749"/>
      <c r="C6" s="749"/>
      <c r="D6" s="749"/>
      <c r="E6" s="175" t="s">
        <v>357</v>
      </c>
      <c r="F6" s="175" t="s">
        <v>358</v>
      </c>
      <c r="G6" s="851"/>
    </row>
    <row r="7" spans="1:7" ht="24" hidden="1" customHeight="1" x14ac:dyDescent="0.15">
      <c r="A7" s="659" t="s">
        <v>4</v>
      </c>
      <c r="B7" s="178">
        <v>76422</v>
      </c>
      <c r="C7" s="178">
        <v>118698</v>
      </c>
      <c r="D7" s="178">
        <f t="shared" ref="D7:D26" si="0">B7+C7</f>
        <v>195120</v>
      </c>
      <c r="E7" s="179">
        <v>100</v>
      </c>
      <c r="F7" s="183">
        <v>100</v>
      </c>
      <c r="G7" s="180">
        <v>100</v>
      </c>
    </row>
    <row r="8" spans="1:7" ht="24" hidden="1" customHeight="1" x14ac:dyDescent="0.15">
      <c r="A8" s="659" t="s">
        <v>88</v>
      </c>
      <c r="B8" s="89">
        <v>76460</v>
      </c>
      <c r="C8" s="89">
        <v>118660</v>
      </c>
      <c r="D8" s="89">
        <f t="shared" si="0"/>
        <v>195120</v>
      </c>
      <c r="E8" s="183">
        <f t="shared" ref="E8:G23" si="1">ROUND((B8/B7)*100,1)</f>
        <v>100</v>
      </c>
      <c r="F8" s="183">
        <f t="shared" si="1"/>
        <v>100</v>
      </c>
      <c r="G8" s="184">
        <f>ROUND((D8/D7)*100,1)</f>
        <v>100</v>
      </c>
    </row>
    <row r="9" spans="1:7" ht="24" hidden="1" customHeight="1" x14ac:dyDescent="0.15">
      <c r="A9" s="659" t="s">
        <v>6</v>
      </c>
      <c r="B9" s="89">
        <v>80272</v>
      </c>
      <c r="C9" s="89">
        <v>122618</v>
      </c>
      <c r="D9" s="89">
        <f t="shared" si="0"/>
        <v>202890</v>
      </c>
      <c r="E9" s="183">
        <f t="shared" si="1"/>
        <v>105</v>
      </c>
      <c r="F9" s="183">
        <f t="shared" si="1"/>
        <v>103.3</v>
      </c>
      <c r="G9" s="184">
        <f t="shared" si="1"/>
        <v>104</v>
      </c>
    </row>
    <row r="10" spans="1:7" ht="24" hidden="1" customHeight="1" x14ac:dyDescent="0.15">
      <c r="A10" s="659" t="s">
        <v>7</v>
      </c>
      <c r="B10" s="89">
        <v>80272</v>
      </c>
      <c r="C10" s="89">
        <v>122618</v>
      </c>
      <c r="D10" s="89">
        <f t="shared" si="0"/>
        <v>202890</v>
      </c>
      <c r="E10" s="183">
        <f t="shared" si="1"/>
        <v>100</v>
      </c>
      <c r="F10" s="183">
        <f t="shared" si="1"/>
        <v>100</v>
      </c>
      <c r="G10" s="184">
        <f t="shared" si="1"/>
        <v>100</v>
      </c>
    </row>
    <row r="11" spans="1:7" ht="24" hidden="1" customHeight="1" x14ac:dyDescent="0.15">
      <c r="A11" s="659" t="s">
        <v>8</v>
      </c>
      <c r="B11" s="89">
        <v>80272</v>
      </c>
      <c r="C11" s="89">
        <v>122618</v>
      </c>
      <c r="D11" s="89">
        <f t="shared" si="0"/>
        <v>202890</v>
      </c>
      <c r="E11" s="183">
        <f t="shared" si="1"/>
        <v>100</v>
      </c>
      <c r="F11" s="183">
        <f t="shared" si="1"/>
        <v>100</v>
      </c>
      <c r="G11" s="184">
        <f t="shared" si="1"/>
        <v>100</v>
      </c>
    </row>
    <row r="12" spans="1:7" ht="24" hidden="1" customHeight="1" x14ac:dyDescent="0.15">
      <c r="A12" s="659" t="s">
        <v>9</v>
      </c>
      <c r="B12" s="89">
        <v>80270</v>
      </c>
      <c r="C12" s="89">
        <v>122620</v>
      </c>
      <c r="D12" s="89">
        <f t="shared" si="0"/>
        <v>202890</v>
      </c>
      <c r="E12" s="183">
        <f t="shared" si="1"/>
        <v>100</v>
      </c>
      <c r="F12" s="183">
        <f t="shared" si="1"/>
        <v>100</v>
      </c>
      <c r="G12" s="184">
        <f t="shared" si="1"/>
        <v>100</v>
      </c>
    </row>
    <row r="13" spans="1:7" ht="24" hidden="1" customHeight="1" x14ac:dyDescent="0.15">
      <c r="A13" s="659" t="s">
        <v>10</v>
      </c>
      <c r="B13" s="89">
        <v>80270</v>
      </c>
      <c r="C13" s="89">
        <v>122620</v>
      </c>
      <c r="D13" s="89">
        <f t="shared" si="0"/>
        <v>202890</v>
      </c>
      <c r="E13" s="183">
        <f t="shared" si="1"/>
        <v>100</v>
      </c>
      <c r="F13" s="183">
        <f t="shared" si="1"/>
        <v>100</v>
      </c>
      <c r="G13" s="184">
        <f t="shared" si="1"/>
        <v>100</v>
      </c>
    </row>
    <row r="14" spans="1:7" ht="24" hidden="1" customHeight="1" x14ac:dyDescent="0.15">
      <c r="A14" s="659" t="s">
        <v>11</v>
      </c>
      <c r="B14" s="89">
        <v>80270</v>
      </c>
      <c r="C14" s="89">
        <v>122620</v>
      </c>
      <c r="D14" s="89">
        <f t="shared" si="0"/>
        <v>202890</v>
      </c>
      <c r="E14" s="183">
        <f t="shared" si="1"/>
        <v>100</v>
      </c>
      <c r="F14" s="183">
        <f t="shared" si="1"/>
        <v>100</v>
      </c>
      <c r="G14" s="184">
        <f t="shared" si="1"/>
        <v>100</v>
      </c>
    </row>
    <row r="15" spans="1:7" ht="24" hidden="1" customHeight="1" x14ac:dyDescent="0.15">
      <c r="A15" s="659" t="s">
        <v>163</v>
      </c>
      <c r="B15" s="89">
        <v>80270</v>
      </c>
      <c r="C15" s="89">
        <v>122620</v>
      </c>
      <c r="D15" s="89">
        <f t="shared" si="0"/>
        <v>202890</v>
      </c>
      <c r="E15" s="183">
        <f t="shared" si="1"/>
        <v>100</v>
      </c>
      <c r="F15" s="183">
        <f t="shared" si="1"/>
        <v>100</v>
      </c>
      <c r="G15" s="184">
        <f t="shared" si="1"/>
        <v>100</v>
      </c>
    </row>
    <row r="16" spans="1:7" ht="24" hidden="1" customHeight="1" x14ac:dyDescent="0.15">
      <c r="A16" s="659" t="s">
        <v>13</v>
      </c>
      <c r="B16" s="89">
        <v>80270</v>
      </c>
      <c r="C16" s="89">
        <v>122620</v>
      </c>
      <c r="D16" s="89">
        <f t="shared" si="0"/>
        <v>202890</v>
      </c>
      <c r="E16" s="183">
        <f>ROUND((B16/B15)*100,1)</f>
        <v>100</v>
      </c>
      <c r="F16" s="183">
        <f>ROUND((C16/C15)*100,1)</f>
        <v>100</v>
      </c>
      <c r="G16" s="184">
        <f t="shared" si="1"/>
        <v>100</v>
      </c>
    </row>
    <row r="17" spans="1:7" ht="24" hidden="1" customHeight="1" x14ac:dyDescent="0.15">
      <c r="A17" s="660" t="s">
        <v>35</v>
      </c>
      <c r="B17" s="178">
        <v>80270</v>
      </c>
      <c r="C17" s="452">
        <v>122620</v>
      </c>
      <c r="D17" s="178">
        <f t="shared" si="0"/>
        <v>202890</v>
      </c>
      <c r="E17" s="179">
        <f t="shared" ref="E17:E22" si="2">ROUND((B17/B16)*100,1)</f>
        <v>100</v>
      </c>
      <c r="F17" s="179">
        <f t="shared" si="1"/>
        <v>100</v>
      </c>
      <c r="G17" s="184">
        <f t="shared" si="1"/>
        <v>100</v>
      </c>
    </row>
    <row r="18" spans="1:7" ht="24" hidden="1" customHeight="1" x14ac:dyDescent="0.15">
      <c r="A18" s="660" t="s">
        <v>36</v>
      </c>
      <c r="B18" s="178">
        <v>80550</v>
      </c>
      <c r="C18" s="452">
        <v>123050</v>
      </c>
      <c r="D18" s="178">
        <f>B18+C18</f>
        <v>203600</v>
      </c>
      <c r="E18" s="179">
        <f t="shared" si="2"/>
        <v>100.3</v>
      </c>
      <c r="F18" s="179">
        <f t="shared" si="1"/>
        <v>100.4</v>
      </c>
      <c r="G18" s="184">
        <f t="shared" si="1"/>
        <v>100.3</v>
      </c>
    </row>
    <row r="19" spans="1:7" ht="24" hidden="1" customHeight="1" x14ac:dyDescent="0.15">
      <c r="A19" s="660" t="s">
        <v>37</v>
      </c>
      <c r="B19" s="178">
        <v>80550</v>
      </c>
      <c r="C19" s="452">
        <v>123050</v>
      </c>
      <c r="D19" s="178">
        <f>B19+C19</f>
        <v>203600</v>
      </c>
      <c r="E19" s="179">
        <f t="shared" si="2"/>
        <v>100</v>
      </c>
      <c r="F19" s="179">
        <f t="shared" si="1"/>
        <v>100</v>
      </c>
      <c r="G19" s="184">
        <f t="shared" si="1"/>
        <v>100</v>
      </c>
    </row>
    <row r="20" spans="1:7" ht="24" hidden="1" customHeight="1" x14ac:dyDescent="0.15">
      <c r="A20" s="660" t="s">
        <v>38</v>
      </c>
      <c r="B20" s="178">
        <v>80550</v>
      </c>
      <c r="C20" s="452">
        <v>123050</v>
      </c>
      <c r="D20" s="178">
        <f t="shared" si="0"/>
        <v>203600</v>
      </c>
      <c r="E20" s="179">
        <f t="shared" si="2"/>
        <v>100</v>
      </c>
      <c r="F20" s="179">
        <f t="shared" si="1"/>
        <v>100</v>
      </c>
      <c r="G20" s="661">
        <f t="shared" si="1"/>
        <v>100</v>
      </c>
    </row>
    <row r="21" spans="1:7" ht="24" hidden="1" customHeight="1" x14ac:dyDescent="0.15">
      <c r="A21" s="659" t="s">
        <v>39</v>
      </c>
      <c r="B21" s="89">
        <v>80550</v>
      </c>
      <c r="C21" s="445">
        <v>123050</v>
      </c>
      <c r="D21" s="89">
        <f t="shared" si="0"/>
        <v>203600</v>
      </c>
      <c r="E21" s="183">
        <f t="shared" si="2"/>
        <v>100</v>
      </c>
      <c r="F21" s="183">
        <f t="shared" si="1"/>
        <v>100</v>
      </c>
      <c r="G21" s="662">
        <f t="shared" si="1"/>
        <v>100</v>
      </c>
    </row>
    <row r="22" spans="1:7" ht="24" customHeight="1" x14ac:dyDescent="0.15">
      <c r="A22" s="663" t="s">
        <v>134</v>
      </c>
      <c r="B22" s="195">
        <v>80270</v>
      </c>
      <c r="C22" s="664">
        <v>123330</v>
      </c>
      <c r="D22" s="80">
        <f t="shared" si="0"/>
        <v>203600</v>
      </c>
      <c r="E22" s="185">
        <f t="shared" si="2"/>
        <v>99.7</v>
      </c>
      <c r="F22" s="185">
        <f t="shared" si="1"/>
        <v>100.2</v>
      </c>
      <c r="G22" s="661">
        <f t="shared" si="1"/>
        <v>100</v>
      </c>
    </row>
    <row r="23" spans="1:7" ht="24" customHeight="1" x14ac:dyDescent="0.15">
      <c r="A23" s="660" t="s">
        <v>41</v>
      </c>
      <c r="B23" s="188">
        <v>80270</v>
      </c>
      <c r="C23" s="665">
        <v>123330</v>
      </c>
      <c r="D23" s="188">
        <f t="shared" si="0"/>
        <v>203600</v>
      </c>
      <c r="E23" s="189">
        <f>ROUND((B23/B22)*100,1)</f>
        <v>100</v>
      </c>
      <c r="F23" s="189">
        <f t="shared" si="1"/>
        <v>100</v>
      </c>
      <c r="G23" s="666">
        <f>ROUND((D23/D22)*100,1)</f>
        <v>100</v>
      </c>
    </row>
    <row r="24" spans="1:7" ht="24" customHeight="1" x14ac:dyDescent="0.15">
      <c r="A24" s="660" t="s">
        <v>42</v>
      </c>
      <c r="B24" s="188">
        <v>80270</v>
      </c>
      <c r="C24" s="665">
        <v>123330</v>
      </c>
      <c r="D24" s="188">
        <f t="shared" si="0"/>
        <v>203600</v>
      </c>
      <c r="E24" s="189">
        <f>ROUND((B24/B23)*100,1)</f>
        <v>100</v>
      </c>
      <c r="F24" s="189">
        <f t="shared" ref="F24" si="3">ROUND((C24/C23)*100,1)</f>
        <v>100</v>
      </c>
      <c r="G24" s="666">
        <f>ROUND((D24/D23)*100,1)</f>
        <v>100</v>
      </c>
    </row>
    <row r="25" spans="1:7" ht="24" customHeight="1" x14ac:dyDescent="0.15">
      <c r="A25" s="659" t="s">
        <v>43</v>
      </c>
      <c r="B25" s="203">
        <v>80270</v>
      </c>
      <c r="C25" s="667">
        <v>123330</v>
      </c>
      <c r="D25" s="203">
        <f t="shared" si="0"/>
        <v>203600</v>
      </c>
      <c r="E25" s="211">
        <f>ROUND((B25/B24)*100,1)</f>
        <v>100</v>
      </c>
      <c r="F25" s="211">
        <f>ROUND((C25/C24)*100,1)</f>
        <v>100</v>
      </c>
      <c r="G25" s="668">
        <f>ROUND((D25/D24)*100,1)</f>
        <v>100</v>
      </c>
    </row>
    <row r="26" spans="1:7" s="672" customFormat="1" ht="24" customHeight="1" thickBot="1" x14ac:dyDescent="0.2">
      <c r="A26" s="669" t="s">
        <v>44</v>
      </c>
      <c r="B26" s="213">
        <v>80270</v>
      </c>
      <c r="C26" s="670">
        <v>123330</v>
      </c>
      <c r="D26" s="213">
        <f t="shared" si="0"/>
        <v>203600</v>
      </c>
      <c r="E26" s="214">
        <f>ROUND((B26/B25)*100,1)</f>
        <v>100</v>
      </c>
      <c r="F26" s="214">
        <f>ROUND((C26/C25)*100,1)</f>
        <v>100</v>
      </c>
      <c r="G26" s="671">
        <f>ROUND((D26/D25)*100,1)</f>
        <v>100</v>
      </c>
    </row>
    <row r="27" spans="1:7" ht="21.75" customHeight="1" x14ac:dyDescent="0.15">
      <c r="A27" s="417" t="s">
        <v>359</v>
      </c>
      <c r="B27" s="417"/>
      <c r="C27" s="673"/>
      <c r="D27" s="417"/>
      <c r="E27" s="417" t="s">
        <v>101</v>
      </c>
      <c r="F27" s="417"/>
      <c r="G27" s="417"/>
    </row>
    <row r="28" spans="1:7" ht="7.5" customHeight="1" x14ac:dyDescent="0.15">
      <c r="A28" s="417"/>
      <c r="B28" s="417"/>
      <c r="C28" s="417"/>
      <c r="D28" s="417"/>
      <c r="E28" s="417"/>
      <c r="F28" s="417"/>
      <c r="G28" s="417"/>
    </row>
    <row r="29" spans="1:7" s="62" customFormat="1" ht="21.75" customHeight="1" thickBot="1" x14ac:dyDescent="0.2">
      <c r="A29" s="61" t="s">
        <v>360</v>
      </c>
      <c r="B29" s="61"/>
      <c r="C29" s="61"/>
      <c r="D29" s="61"/>
      <c r="E29" s="61"/>
      <c r="F29" s="65" t="s">
        <v>353</v>
      </c>
      <c r="G29" s="61"/>
    </row>
    <row r="30" spans="1:7" ht="17.25" customHeight="1" x14ac:dyDescent="0.15">
      <c r="A30" s="845" t="s">
        <v>3</v>
      </c>
      <c r="B30" s="846" t="s">
        <v>354</v>
      </c>
      <c r="C30" s="854" t="s">
        <v>361</v>
      </c>
      <c r="D30" s="806"/>
      <c r="E30" s="752" t="s">
        <v>69</v>
      </c>
      <c r="F30" s="753"/>
      <c r="G30" s="417"/>
    </row>
    <row r="31" spans="1:7" ht="17.25" customHeight="1" x14ac:dyDescent="0.15">
      <c r="A31" s="755"/>
      <c r="B31" s="847"/>
      <c r="C31" s="855"/>
      <c r="D31" s="856"/>
      <c r="E31" s="658" t="s">
        <v>356</v>
      </c>
      <c r="F31" s="674" t="s">
        <v>356</v>
      </c>
      <c r="G31" s="417"/>
    </row>
    <row r="32" spans="1:7" ht="17.25" customHeight="1" x14ac:dyDescent="0.15">
      <c r="A32" s="756"/>
      <c r="B32" s="749"/>
      <c r="C32" s="759"/>
      <c r="D32" s="724"/>
      <c r="E32" s="175" t="s">
        <v>357</v>
      </c>
      <c r="F32" s="675" t="s">
        <v>358</v>
      </c>
      <c r="G32" s="417"/>
    </row>
    <row r="33" spans="1:7" ht="24" hidden="1" customHeight="1" x14ac:dyDescent="0.15">
      <c r="A33" s="660" t="s">
        <v>4</v>
      </c>
      <c r="B33" s="178">
        <v>52399</v>
      </c>
      <c r="C33" s="857">
        <v>0</v>
      </c>
      <c r="D33" s="858"/>
      <c r="E33" s="179">
        <v>100</v>
      </c>
      <c r="F33" s="676">
        <v>0</v>
      </c>
      <c r="G33" s="471"/>
    </row>
    <row r="34" spans="1:7" ht="24" hidden="1" customHeight="1" x14ac:dyDescent="0.15">
      <c r="A34" s="659" t="s">
        <v>88</v>
      </c>
      <c r="B34" s="89">
        <v>52493</v>
      </c>
      <c r="C34" s="852">
        <v>0</v>
      </c>
      <c r="D34" s="853"/>
      <c r="E34" s="183">
        <f t="shared" ref="E34:E47" si="4">ROUND((B34/B33)*100,1)</f>
        <v>100.2</v>
      </c>
      <c r="F34" s="677">
        <v>0</v>
      </c>
      <c r="G34" s="471"/>
    </row>
    <row r="35" spans="1:7" ht="24" hidden="1" customHeight="1" x14ac:dyDescent="0.15">
      <c r="A35" s="659" t="s">
        <v>6</v>
      </c>
      <c r="B35" s="89">
        <v>52447</v>
      </c>
      <c r="C35" s="852">
        <v>0</v>
      </c>
      <c r="D35" s="853"/>
      <c r="E35" s="183">
        <f t="shared" si="4"/>
        <v>99.9</v>
      </c>
      <c r="F35" s="677">
        <v>0</v>
      </c>
      <c r="G35" s="471"/>
    </row>
    <row r="36" spans="1:7" ht="24" hidden="1" customHeight="1" x14ac:dyDescent="0.15">
      <c r="A36" s="659" t="s">
        <v>7</v>
      </c>
      <c r="B36" s="89">
        <v>52433</v>
      </c>
      <c r="C36" s="859">
        <v>0</v>
      </c>
      <c r="D36" s="860"/>
      <c r="E36" s="183">
        <f t="shared" si="4"/>
        <v>100</v>
      </c>
      <c r="F36" s="677">
        <v>0</v>
      </c>
      <c r="G36" s="471"/>
    </row>
    <row r="37" spans="1:7" ht="24" hidden="1" customHeight="1" x14ac:dyDescent="0.15">
      <c r="A37" s="659" t="s">
        <v>8</v>
      </c>
      <c r="B37" s="89">
        <v>52463</v>
      </c>
      <c r="C37" s="852">
        <v>0</v>
      </c>
      <c r="D37" s="853"/>
      <c r="E37" s="183">
        <f t="shared" si="4"/>
        <v>100.1</v>
      </c>
      <c r="F37" s="677">
        <v>0</v>
      </c>
      <c r="G37" s="471"/>
    </row>
    <row r="38" spans="1:7" ht="24" hidden="1" customHeight="1" x14ac:dyDescent="0.15">
      <c r="A38" s="659" t="s">
        <v>9</v>
      </c>
      <c r="B38" s="89">
        <v>52455</v>
      </c>
      <c r="C38" s="852">
        <v>0</v>
      </c>
      <c r="D38" s="853"/>
      <c r="E38" s="183">
        <f t="shared" si="4"/>
        <v>100</v>
      </c>
      <c r="F38" s="677">
        <v>0</v>
      </c>
      <c r="G38" s="471"/>
    </row>
    <row r="39" spans="1:7" ht="24" hidden="1" customHeight="1" x14ac:dyDescent="0.15">
      <c r="A39" s="659" t="s">
        <v>10</v>
      </c>
      <c r="B39" s="89">
        <v>52469</v>
      </c>
      <c r="C39" s="852">
        <v>0</v>
      </c>
      <c r="D39" s="853"/>
      <c r="E39" s="183">
        <f t="shared" si="4"/>
        <v>100</v>
      </c>
      <c r="F39" s="677">
        <v>0</v>
      </c>
      <c r="G39" s="471"/>
    </row>
    <row r="40" spans="1:7" ht="24" hidden="1" customHeight="1" x14ac:dyDescent="0.15">
      <c r="A40" s="659" t="s">
        <v>11</v>
      </c>
      <c r="B40" s="89">
        <v>55272</v>
      </c>
      <c r="C40" s="852">
        <v>0</v>
      </c>
      <c r="D40" s="853"/>
      <c r="E40" s="183">
        <f t="shared" si="4"/>
        <v>105.3</v>
      </c>
      <c r="F40" s="677">
        <v>0</v>
      </c>
      <c r="G40" s="471"/>
    </row>
    <row r="41" spans="1:7" ht="24" hidden="1" customHeight="1" x14ac:dyDescent="0.15">
      <c r="A41" s="659" t="s">
        <v>163</v>
      </c>
      <c r="B41" s="89">
        <v>55222</v>
      </c>
      <c r="C41" s="852">
        <v>0</v>
      </c>
      <c r="D41" s="853"/>
      <c r="E41" s="183">
        <f t="shared" si="4"/>
        <v>99.9</v>
      </c>
      <c r="F41" s="677">
        <v>0</v>
      </c>
      <c r="G41" s="471"/>
    </row>
    <row r="42" spans="1:7" ht="24" hidden="1" customHeight="1" x14ac:dyDescent="0.15">
      <c r="A42" s="659" t="s">
        <v>13</v>
      </c>
      <c r="B42" s="89">
        <v>55230</v>
      </c>
      <c r="C42" s="852">
        <v>0</v>
      </c>
      <c r="D42" s="853"/>
      <c r="E42" s="183">
        <f t="shared" si="4"/>
        <v>100</v>
      </c>
      <c r="F42" s="677">
        <v>0</v>
      </c>
      <c r="G42" s="471"/>
    </row>
    <row r="43" spans="1:7" ht="24" hidden="1" customHeight="1" x14ac:dyDescent="0.15">
      <c r="A43" s="660" t="s">
        <v>35</v>
      </c>
      <c r="B43" s="178">
        <v>55196</v>
      </c>
      <c r="C43" s="477"/>
      <c r="D43" s="435">
        <v>0</v>
      </c>
      <c r="E43" s="179">
        <f t="shared" si="4"/>
        <v>99.9</v>
      </c>
      <c r="F43" s="677">
        <v>0</v>
      </c>
      <c r="G43" s="471"/>
    </row>
    <row r="44" spans="1:7" ht="24" hidden="1" customHeight="1" x14ac:dyDescent="0.15">
      <c r="A44" s="660" t="s">
        <v>36</v>
      </c>
      <c r="B44" s="178">
        <v>55164</v>
      </c>
      <c r="C44" s="477"/>
      <c r="D44" s="435">
        <v>0</v>
      </c>
      <c r="E44" s="179">
        <f t="shared" si="4"/>
        <v>99.9</v>
      </c>
      <c r="F44" s="677">
        <v>0</v>
      </c>
      <c r="G44" s="471"/>
    </row>
    <row r="45" spans="1:7" ht="24" hidden="1" customHeight="1" x14ac:dyDescent="0.15">
      <c r="A45" s="660" t="s">
        <v>37</v>
      </c>
      <c r="B45" s="178">
        <v>55161</v>
      </c>
      <c r="C45" s="477"/>
      <c r="D45" s="435">
        <v>0</v>
      </c>
      <c r="E45" s="179">
        <f t="shared" si="4"/>
        <v>100</v>
      </c>
      <c r="F45" s="677">
        <v>0</v>
      </c>
      <c r="G45" s="471"/>
    </row>
    <row r="46" spans="1:7" ht="24" hidden="1" customHeight="1" x14ac:dyDescent="0.15">
      <c r="A46" s="660" t="s">
        <v>38</v>
      </c>
      <c r="B46" s="178">
        <v>55153</v>
      </c>
      <c r="C46" s="678"/>
      <c r="D46" s="435">
        <v>0</v>
      </c>
      <c r="E46" s="179">
        <f t="shared" si="4"/>
        <v>100</v>
      </c>
      <c r="F46" s="679">
        <v>0</v>
      </c>
      <c r="G46" s="471"/>
    </row>
    <row r="47" spans="1:7" ht="24" hidden="1" customHeight="1" x14ac:dyDescent="0.15">
      <c r="A47" s="659" t="s">
        <v>39</v>
      </c>
      <c r="B47" s="89">
        <v>55147</v>
      </c>
      <c r="C47" s="461"/>
      <c r="D47" s="460">
        <v>0</v>
      </c>
      <c r="E47" s="183">
        <f t="shared" si="4"/>
        <v>100</v>
      </c>
      <c r="F47" s="680">
        <v>0</v>
      </c>
      <c r="G47" s="471"/>
    </row>
    <row r="48" spans="1:7" ht="24" customHeight="1" x14ac:dyDescent="0.15">
      <c r="A48" s="663" t="s">
        <v>134</v>
      </c>
      <c r="B48" s="80">
        <v>55128</v>
      </c>
      <c r="C48" s="678"/>
      <c r="D48" s="681">
        <v>0</v>
      </c>
      <c r="E48" s="185">
        <f>ROUND((B48/B47)*100,1)</f>
        <v>100</v>
      </c>
      <c r="F48" s="679">
        <v>0</v>
      </c>
      <c r="G48" s="471"/>
    </row>
    <row r="49" spans="1:7" ht="24" customHeight="1" x14ac:dyDescent="0.15">
      <c r="A49" s="660" t="s">
        <v>41</v>
      </c>
      <c r="B49" s="178">
        <v>55105</v>
      </c>
      <c r="C49" s="437"/>
      <c r="D49" s="435">
        <v>0</v>
      </c>
      <c r="E49" s="179">
        <f>ROUND((B49/B48)*100,1)</f>
        <v>100</v>
      </c>
      <c r="F49" s="682">
        <v>0</v>
      </c>
      <c r="G49" s="471"/>
    </row>
    <row r="50" spans="1:7" ht="24" customHeight="1" x14ac:dyDescent="0.15">
      <c r="A50" s="660" t="s">
        <v>42</v>
      </c>
      <c r="B50" s="178">
        <v>55092</v>
      </c>
      <c r="C50" s="437"/>
      <c r="D50" s="435">
        <v>0</v>
      </c>
      <c r="E50" s="179">
        <f>ROUND((B50/B49)*100,1)</f>
        <v>100</v>
      </c>
      <c r="F50" s="682">
        <v>0</v>
      </c>
      <c r="G50" s="471"/>
    </row>
    <row r="51" spans="1:7" ht="24" customHeight="1" x14ac:dyDescent="0.15">
      <c r="A51" s="659" t="s">
        <v>43</v>
      </c>
      <c r="B51" s="89">
        <v>55069</v>
      </c>
      <c r="C51" s="461"/>
      <c r="D51" s="460">
        <v>0</v>
      </c>
      <c r="E51" s="183">
        <f>ROUND((B51/B50)*100,1)</f>
        <v>100</v>
      </c>
      <c r="F51" s="680">
        <v>0</v>
      </c>
      <c r="G51" s="471"/>
    </row>
    <row r="52" spans="1:7" s="672" customFormat="1" ht="24" customHeight="1" thickBot="1" x14ac:dyDescent="0.2">
      <c r="A52" s="669" t="s">
        <v>44</v>
      </c>
      <c r="B52" s="213">
        <v>55042</v>
      </c>
      <c r="C52" s="683"/>
      <c r="D52" s="684">
        <v>0</v>
      </c>
      <c r="E52" s="214">
        <f>ROUND((B52/B51)*100,1)</f>
        <v>100</v>
      </c>
      <c r="F52" s="685">
        <v>0</v>
      </c>
      <c r="G52" s="686"/>
    </row>
    <row r="53" spans="1:7" ht="21.75" customHeight="1" x14ac:dyDescent="0.15">
      <c r="A53" s="417" t="s">
        <v>359</v>
      </c>
      <c r="B53" s="81"/>
      <c r="C53" s="81"/>
      <c r="D53" s="81"/>
      <c r="E53" s="471" t="s">
        <v>362</v>
      </c>
      <c r="F53" s="471"/>
      <c r="G53" s="471"/>
    </row>
    <row r="54" spans="1:7" ht="15.95" customHeight="1" x14ac:dyDescent="0.15">
      <c r="A54" s="417"/>
      <c r="B54" s="417"/>
      <c r="C54" s="417" t="s">
        <v>101</v>
      </c>
      <c r="D54" s="417" t="s">
        <v>362</v>
      </c>
      <c r="E54" s="417"/>
      <c r="F54" s="417" t="s">
        <v>101</v>
      </c>
      <c r="G54" s="417"/>
    </row>
    <row r="55" spans="1:7" s="62" customFormat="1" ht="21.75" customHeight="1" thickBot="1" x14ac:dyDescent="0.2">
      <c r="A55" s="61" t="s">
        <v>363</v>
      </c>
      <c r="B55" s="61"/>
      <c r="C55" s="61"/>
      <c r="D55" s="61"/>
      <c r="E55" s="61"/>
      <c r="F55" s="61"/>
      <c r="G55" s="65" t="s">
        <v>364</v>
      </c>
    </row>
    <row r="56" spans="1:7" ht="17.25" customHeight="1" x14ac:dyDescent="0.15">
      <c r="A56" s="751" t="s">
        <v>3</v>
      </c>
      <c r="B56" s="752" t="s">
        <v>365</v>
      </c>
      <c r="C56" s="752" t="s">
        <v>366</v>
      </c>
      <c r="D56" s="752" t="s">
        <v>29</v>
      </c>
      <c r="E56" s="752" t="s">
        <v>69</v>
      </c>
      <c r="F56" s="752"/>
      <c r="G56" s="753"/>
    </row>
    <row r="57" spans="1:7" ht="17.25" customHeight="1" x14ac:dyDescent="0.15">
      <c r="A57" s="747"/>
      <c r="B57" s="745"/>
      <c r="C57" s="745"/>
      <c r="D57" s="745"/>
      <c r="E57" s="687" t="s">
        <v>46</v>
      </c>
      <c r="F57" s="687" t="s">
        <v>47</v>
      </c>
      <c r="G57" s="688" t="s">
        <v>29</v>
      </c>
    </row>
    <row r="58" spans="1:7" ht="24" hidden="1" customHeight="1" x14ac:dyDescent="0.15">
      <c r="A58" s="660" t="s">
        <v>4</v>
      </c>
      <c r="B58" s="89">
        <v>1116897083</v>
      </c>
      <c r="C58" s="89">
        <v>818104419</v>
      </c>
      <c r="D58" s="178">
        <f t="shared" ref="D58:D77" si="5">B58+C58</f>
        <v>1935001502</v>
      </c>
      <c r="E58" s="179">
        <v>94</v>
      </c>
      <c r="F58" s="183">
        <v>103.7</v>
      </c>
      <c r="G58" s="180">
        <v>97.8</v>
      </c>
    </row>
    <row r="59" spans="1:7" ht="24" hidden="1" customHeight="1" x14ac:dyDescent="0.15">
      <c r="A59" s="659" t="s">
        <v>88</v>
      </c>
      <c r="B59" s="89">
        <v>1049829486</v>
      </c>
      <c r="C59" s="89">
        <v>845696615</v>
      </c>
      <c r="D59" s="89">
        <f t="shared" si="5"/>
        <v>1895526101</v>
      </c>
      <c r="E59" s="183">
        <f>ROUND((B59/B58)*100,1)</f>
        <v>94</v>
      </c>
      <c r="F59" s="183">
        <f t="shared" ref="E59:G66" si="6">ROUND((C59/C58)*100,1)</f>
        <v>103.4</v>
      </c>
      <c r="G59" s="184">
        <f t="shared" si="6"/>
        <v>98</v>
      </c>
    </row>
    <row r="60" spans="1:7" ht="24" hidden="1" customHeight="1" x14ac:dyDescent="0.15">
      <c r="A60" s="659" t="s">
        <v>6</v>
      </c>
      <c r="B60" s="89">
        <v>996520057</v>
      </c>
      <c r="C60" s="89">
        <v>782102801</v>
      </c>
      <c r="D60" s="89">
        <f t="shared" si="5"/>
        <v>1778622858</v>
      </c>
      <c r="E60" s="183">
        <f t="shared" si="6"/>
        <v>94.9</v>
      </c>
      <c r="F60" s="183">
        <f t="shared" si="6"/>
        <v>92.5</v>
      </c>
      <c r="G60" s="184">
        <f t="shared" si="6"/>
        <v>93.8</v>
      </c>
    </row>
    <row r="61" spans="1:7" ht="24" hidden="1" customHeight="1" x14ac:dyDescent="0.15">
      <c r="A61" s="659" t="s">
        <v>7</v>
      </c>
      <c r="B61" s="89">
        <v>974437447</v>
      </c>
      <c r="C61" s="89">
        <v>806108091</v>
      </c>
      <c r="D61" s="89">
        <f t="shared" si="5"/>
        <v>1780545538</v>
      </c>
      <c r="E61" s="183">
        <f>ROUND((B60/B59)*100,1)</f>
        <v>94.9</v>
      </c>
      <c r="F61" s="183">
        <f t="shared" si="6"/>
        <v>103.1</v>
      </c>
      <c r="G61" s="184">
        <f t="shared" si="6"/>
        <v>100.1</v>
      </c>
    </row>
    <row r="62" spans="1:7" ht="24" hidden="1" customHeight="1" x14ac:dyDescent="0.15">
      <c r="A62" s="659" t="s">
        <v>8</v>
      </c>
      <c r="B62" s="89">
        <v>970565311</v>
      </c>
      <c r="C62" s="89">
        <v>833130760</v>
      </c>
      <c r="D62" s="89">
        <f t="shared" si="5"/>
        <v>1803696071</v>
      </c>
      <c r="E62" s="183">
        <f>ROUND((B62/B61)*100,1)</f>
        <v>99.6</v>
      </c>
      <c r="F62" s="183">
        <f t="shared" si="6"/>
        <v>103.4</v>
      </c>
      <c r="G62" s="184">
        <f t="shared" si="6"/>
        <v>101.3</v>
      </c>
    </row>
    <row r="63" spans="1:7" ht="24" hidden="1" customHeight="1" x14ac:dyDescent="0.15">
      <c r="A63" s="659" t="s">
        <v>9</v>
      </c>
      <c r="B63" s="89">
        <v>970314930</v>
      </c>
      <c r="C63" s="89">
        <v>812121550</v>
      </c>
      <c r="D63" s="89">
        <f t="shared" si="5"/>
        <v>1782436480</v>
      </c>
      <c r="E63" s="183">
        <f>ROUND((B63/B62)*100,1)</f>
        <v>100</v>
      </c>
      <c r="F63" s="183">
        <f t="shared" si="6"/>
        <v>97.5</v>
      </c>
      <c r="G63" s="184">
        <f t="shared" si="6"/>
        <v>98.8</v>
      </c>
    </row>
    <row r="64" spans="1:7" ht="24" hidden="1" customHeight="1" x14ac:dyDescent="0.15">
      <c r="A64" s="659" t="s">
        <v>10</v>
      </c>
      <c r="B64" s="89">
        <v>961676363</v>
      </c>
      <c r="C64" s="89">
        <v>830216077</v>
      </c>
      <c r="D64" s="89">
        <f t="shared" si="5"/>
        <v>1791892440</v>
      </c>
      <c r="E64" s="183">
        <f>ROUND((B64/B63)*100,1)</f>
        <v>99.1</v>
      </c>
      <c r="F64" s="183">
        <f t="shared" si="6"/>
        <v>102.2</v>
      </c>
      <c r="G64" s="184">
        <f t="shared" si="6"/>
        <v>100.5</v>
      </c>
    </row>
    <row r="65" spans="1:7" ht="24" hidden="1" customHeight="1" x14ac:dyDescent="0.15">
      <c r="A65" s="659" t="s">
        <v>11</v>
      </c>
      <c r="B65" s="89">
        <v>987942199</v>
      </c>
      <c r="C65" s="89">
        <v>885209975</v>
      </c>
      <c r="D65" s="89">
        <f t="shared" si="5"/>
        <v>1873152174</v>
      </c>
      <c r="E65" s="183">
        <f>ROUND((B65/B64)*100,1)</f>
        <v>102.7</v>
      </c>
      <c r="F65" s="183">
        <f t="shared" si="6"/>
        <v>106.6</v>
      </c>
      <c r="G65" s="184">
        <f t="shared" si="6"/>
        <v>104.5</v>
      </c>
    </row>
    <row r="66" spans="1:7" ht="24" hidden="1" customHeight="1" x14ac:dyDescent="0.15">
      <c r="A66" s="659" t="s">
        <v>163</v>
      </c>
      <c r="B66" s="89">
        <v>972904623</v>
      </c>
      <c r="C66" s="89">
        <v>803576183</v>
      </c>
      <c r="D66" s="89">
        <f t="shared" si="5"/>
        <v>1776480806</v>
      </c>
      <c r="E66" s="183">
        <f>ROUND((B66/B65)*100,1)</f>
        <v>98.5</v>
      </c>
      <c r="F66" s="183">
        <f t="shared" si="6"/>
        <v>90.8</v>
      </c>
      <c r="G66" s="184">
        <f t="shared" si="6"/>
        <v>94.8</v>
      </c>
    </row>
    <row r="67" spans="1:7" ht="24" hidden="1" customHeight="1" x14ac:dyDescent="0.15">
      <c r="A67" s="659" t="s">
        <v>13</v>
      </c>
      <c r="B67" s="89">
        <v>962578686</v>
      </c>
      <c r="C67" s="89">
        <v>824824203</v>
      </c>
      <c r="D67" s="89">
        <f t="shared" si="5"/>
        <v>1787402889</v>
      </c>
      <c r="E67" s="183">
        <f t="shared" ref="E67:G77" si="7">ROUND((B67/B66)*100,1)</f>
        <v>98.9</v>
      </c>
      <c r="F67" s="183">
        <f t="shared" si="7"/>
        <v>102.6</v>
      </c>
      <c r="G67" s="184">
        <f t="shared" si="7"/>
        <v>100.6</v>
      </c>
    </row>
    <row r="68" spans="1:7" ht="24" hidden="1" customHeight="1" x14ac:dyDescent="0.15">
      <c r="A68" s="660" t="s">
        <v>35</v>
      </c>
      <c r="B68" s="178">
        <v>964958898</v>
      </c>
      <c r="C68" s="178">
        <v>824790797</v>
      </c>
      <c r="D68" s="178">
        <f t="shared" si="5"/>
        <v>1789749695</v>
      </c>
      <c r="E68" s="179">
        <f t="shared" si="7"/>
        <v>100.2</v>
      </c>
      <c r="F68" s="179">
        <f t="shared" si="7"/>
        <v>100</v>
      </c>
      <c r="G68" s="184">
        <f t="shared" si="7"/>
        <v>100.1</v>
      </c>
    </row>
    <row r="69" spans="1:7" ht="24" hidden="1" customHeight="1" x14ac:dyDescent="0.15">
      <c r="A69" s="660" t="s">
        <v>36</v>
      </c>
      <c r="B69" s="178">
        <v>962926031</v>
      </c>
      <c r="C69" s="178">
        <v>825770139</v>
      </c>
      <c r="D69" s="178">
        <f>B69+C69</f>
        <v>1788696170</v>
      </c>
      <c r="E69" s="179">
        <f t="shared" si="7"/>
        <v>99.8</v>
      </c>
      <c r="F69" s="179">
        <f t="shared" si="7"/>
        <v>100.1</v>
      </c>
      <c r="G69" s="184">
        <f t="shared" si="7"/>
        <v>99.9</v>
      </c>
    </row>
    <row r="70" spans="1:7" ht="24" hidden="1" customHeight="1" x14ac:dyDescent="0.15">
      <c r="A70" s="660" t="s">
        <v>37</v>
      </c>
      <c r="B70" s="178">
        <v>968029697</v>
      </c>
      <c r="C70" s="178">
        <v>845566459</v>
      </c>
      <c r="D70" s="178">
        <v>1813596156</v>
      </c>
      <c r="E70" s="179">
        <f t="shared" si="7"/>
        <v>100.5</v>
      </c>
      <c r="F70" s="179">
        <f t="shared" si="7"/>
        <v>102.4</v>
      </c>
      <c r="G70" s="184">
        <f t="shared" si="7"/>
        <v>101.4</v>
      </c>
    </row>
    <row r="71" spans="1:7" ht="24" hidden="1" customHeight="1" x14ac:dyDescent="0.15">
      <c r="A71" s="660" t="s">
        <v>38</v>
      </c>
      <c r="B71" s="178">
        <v>973292773</v>
      </c>
      <c r="C71" s="178">
        <v>864231506</v>
      </c>
      <c r="D71" s="178">
        <f t="shared" si="5"/>
        <v>1837524279</v>
      </c>
      <c r="E71" s="179">
        <f t="shared" si="7"/>
        <v>100.5</v>
      </c>
      <c r="F71" s="179">
        <f t="shared" si="7"/>
        <v>102.2</v>
      </c>
      <c r="G71" s="661">
        <f t="shared" si="7"/>
        <v>101.3</v>
      </c>
    </row>
    <row r="72" spans="1:7" ht="24" hidden="1" customHeight="1" x14ac:dyDescent="0.15">
      <c r="A72" s="659" t="s">
        <v>39</v>
      </c>
      <c r="B72" s="89">
        <v>976645617</v>
      </c>
      <c r="C72" s="89">
        <v>847617727</v>
      </c>
      <c r="D72" s="89">
        <f t="shared" si="5"/>
        <v>1824263344</v>
      </c>
      <c r="E72" s="183">
        <f t="shared" si="7"/>
        <v>100.3</v>
      </c>
      <c r="F72" s="183">
        <f t="shared" si="7"/>
        <v>98.1</v>
      </c>
      <c r="G72" s="662">
        <f t="shared" si="7"/>
        <v>99.3</v>
      </c>
    </row>
    <row r="73" spans="1:7" ht="24" customHeight="1" x14ac:dyDescent="0.15">
      <c r="A73" s="663" t="s">
        <v>134</v>
      </c>
      <c r="B73" s="195">
        <v>981836707</v>
      </c>
      <c r="C73" s="195">
        <v>870683750</v>
      </c>
      <c r="D73" s="195">
        <f t="shared" si="5"/>
        <v>1852520457</v>
      </c>
      <c r="E73" s="185">
        <f t="shared" si="7"/>
        <v>100.5</v>
      </c>
      <c r="F73" s="185">
        <f t="shared" si="7"/>
        <v>102.7</v>
      </c>
      <c r="G73" s="661">
        <f t="shared" si="7"/>
        <v>101.5</v>
      </c>
    </row>
    <row r="74" spans="1:7" ht="24" customHeight="1" x14ac:dyDescent="0.15">
      <c r="A74" s="660" t="s">
        <v>41</v>
      </c>
      <c r="B74" s="188">
        <v>986574489</v>
      </c>
      <c r="C74" s="188">
        <v>894298688</v>
      </c>
      <c r="D74" s="188">
        <f t="shared" si="5"/>
        <v>1880873177</v>
      </c>
      <c r="E74" s="179">
        <f t="shared" si="7"/>
        <v>100.5</v>
      </c>
      <c r="F74" s="179">
        <f t="shared" si="7"/>
        <v>102.7</v>
      </c>
      <c r="G74" s="689">
        <f t="shared" si="7"/>
        <v>101.5</v>
      </c>
    </row>
    <row r="75" spans="1:7" ht="24" customHeight="1" x14ac:dyDescent="0.15">
      <c r="A75" s="660" t="s">
        <v>42</v>
      </c>
      <c r="B75" s="188">
        <v>968250122</v>
      </c>
      <c r="C75" s="188">
        <v>847325912</v>
      </c>
      <c r="D75" s="188">
        <f t="shared" si="5"/>
        <v>1815576034</v>
      </c>
      <c r="E75" s="179">
        <f t="shared" si="7"/>
        <v>98.1</v>
      </c>
      <c r="F75" s="179">
        <f t="shared" si="7"/>
        <v>94.7</v>
      </c>
      <c r="G75" s="689">
        <f t="shared" si="7"/>
        <v>96.5</v>
      </c>
    </row>
    <row r="76" spans="1:7" ht="24" customHeight="1" x14ac:dyDescent="0.15">
      <c r="A76" s="659" t="s">
        <v>43</v>
      </c>
      <c r="B76" s="203">
        <v>967233157</v>
      </c>
      <c r="C76" s="203">
        <v>904053101</v>
      </c>
      <c r="D76" s="203">
        <f t="shared" si="5"/>
        <v>1871286258</v>
      </c>
      <c r="E76" s="183">
        <f t="shared" si="7"/>
        <v>99.9</v>
      </c>
      <c r="F76" s="183">
        <f t="shared" si="7"/>
        <v>106.7</v>
      </c>
      <c r="G76" s="662">
        <f t="shared" si="7"/>
        <v>103.1</v>
      </c>
    </row>
    <row r="77" spans="1:7" ht="24" customHeight="1" thickBot="1" x14ac:dyDescent="0.2">
      <c r="A77" s="690" t="s">
        <v>44</v>
      </c>
      <c r="B77" s="213">
        <v>966558751</v>
      </c>
      <c r="C77" s="213">
        <v>927967153</v>
      </c>
      <c r="D77" s="213">
        <f t="shared" si="5"/>
        <v>1894525904</v>
      </c>
      <c r="E77" s="214">
        <f t="shared" si="7"/>
        <v>99.9</v>
      </c>
      <c r="F77" s="214">
        <f t="shared" si="7"/>
        <v>102.6</v>
      </c>
      <c r="G77" s="671">
        <f t="shared" si="7"/>
        <v>101.2</v>
      </c>
    </row>
    <row r="78" spans="1:7" ht="21.75" customHeight="1" x14ac:dyDescent="0.15">
      <c r="A78" s="417" t="s">
        <v>359</v>
      </c>
      <c r="B78" s="417"/>
      <c r="C78" s="417"/>
      <c r="D78" s="417"/>
      <c r="E78" s="417"/>
      <c r="F78" s="417"/>
      <c r="G78" s="417"/>
    </row>
    <row r="79" spans="1:7" ht="18.75" customHeight="1" x14ac:dyDescent="0.15">
      <c r="C79" s="418" t="s">
        <v>101</v>
      </c>
    </row>
  </sheetData>
  <mergeCells count="25">
    <mergeCell ref="E56:G56"/>
    <mergeCell ref="C41:D41"/>
    <mergeCell ref="C42:D42"/>
    <mergeCell ref="A56:A57"/>
    <mergeCell ref="B56:B57"/>
    <mergeCell ref="C56:C57"/>
    <mergeCell ref="D56:D57"/>
    <mergeCell ref="C40:D40"/>
    <mergeCell ref="A30:A32"/>
    <mergeCell ref="B30:B32"/>
    <mergeCell ref="C30:D32"/>
    <mergeCell ref="E30:F30"/>
    <mergeCell ref="C33:D33"/>
    <mergeCell ref="C34:D34"/>
    <mergeCell ref="C35:D35"/>
    <mergeCell ref="C36:D36"/>
    <mergeCell ref="C37:D37"/>
    <mergeCell ref="C38:D38"/>
    <mergeCell ref="C39:D39"/>
    <mergeCell ref="A4:A6"/>
    <mergeCell ref="B4:B6"/>
    <mergeCell ref="C4:C6"/>
    <mergeCell ref="D4:D6"/>
    <mergeCell ref="E4:G4"/>
    <mergeCell ref="G5:G6"/>
  </mergeCells>
  <phoneticPr fontId="4"/>
  <printOptions horizontalCentered="1"/>
  <pageMargins left="0.59055118110236227" right="0.59055118110236227" top="0.39370078740157483" bottom="0.19685039370078741" header="0.59055118110236227" footer="0.19685039370078741"/>
  <pageSetup paperSize="9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BBCF1-E483-474E-8014-D26E1DDD993E}">
  <sheetPr>
    <pageSetUpPr autoPageBreaks="0" fitToPage="1"/>
  </sheetPr>
  <dimension ref="A1:V24"/>
  <sheetViews>
    <sheetView showGridLines="0" view="pageBreakPreview" zoomScale="80" zoomScaleNormal="100" zoomScaleSheetLayoutView="80" workbookViewId="0">
      <selection activeCell="A2" sqref="A2"/>
    </sheetView>
  </sheetViews>
  <sheetFormatPr defaultColWidth="13.625" defaultRowHeight="22.5" customHeight="1" x14ac:dyDescent="0.15"/>
  <cols>
    <col min="1" max="1" width="8.5" style="62" customWidth="1"/>
    <col min="2" max="2" width="10.375" style="62" customWidth="1"/>
    <col min="3" max="10" width="13.625" style="62" hidden="1" customWidth="1"/>
    <col min="11" max="14" width="0" style="62" hidden="1" customWidth="1"/>
    <col min="15" max="17" width="14.75" style="62" hidden="1" customWidth="1"/>
    <col min="18" max="18" width="14.75" style="62" bestFit="1" customWidth="1"/>
    <col min="19" max="19" width="14.75" style="62" customWidth="1"/>
    <col min="20" max="22" width="14.75" style="62" bestFit="1" customWidth="1"/>
    <col min="23" max="256" width="13.625" style="62"/>
    <col min="257" max="257" width="8.5" style="62" customWidth="1"/>
    <col min="258" max="258" width="10.375" style="62" customWidth="1"/>
    <col min="259" max="273" width="0" style="62" hidden="1" customWidth="1"/>
    <col min="274" max="274" width="14.75" style="62" bestFit="1" customWidth="1"/>
    <col min="275" max="275" width="14.75" style="62" customWidth="1"/>
    <col min="276" max="278" width="14.75" style="62" bestFit="1" customWidth="1"/>
    <col min="279" max="512" width="13.625" style="62"/>
    <col min="513" max="513" width="8.5" style="62" customWidth="1"/>
    <col min="514" max="514" width="10.375" style="62" customWidth="1"/>
    <col min="515" max="529" width="0" style="62" hidden="1" customWidth="1"/>
    <col min="530" max="530" width="14.75" style="62" bestFit="1" customWidth="1"/>
    <col min="531" max="531" width="14.75" style="62" customWidth="1"/>
    <col min="532" max="534" width="14.75" style="62" bestFit="1" customWidth="1"/>
    <col min="535" max="768" width="13.625" style="62"/>
    <col min="769" max="769" width="8.5" style="62" customWidth="1"/>
    <col min="770" max="770" width="10.375" style="62" customWidth="1"/>
    <col min="771" max="785" width="0" style="62" hidden="1" customWidth="1"/>
    <col min="786" max="786" width="14.75" style="62" bestFit="1" customWidth="1"/>
    <col min="787" max="787" width="14.75" style="62" customWidth="1"/>
    <col min="788" max="790" width="14.75" style="62" bestFit="1" customWidth="1"/>
    <col min="791" max="1024" width="13.625" style="62"/>
    <col min="1025" max="1025" width="8.5" style="62" customWidth="1"/>
    <col min="1026" max="1026" width="10.375" style="62" customWidth="1"/>
    <col min="1027" max="1041" width="0" style="62" hidden="1" customWidth="1"/>
    <col min="1042" max="1042" width="14.75" style="62" bestFit="1" customWidth="1"/>
    <col min="1043" max="1043" width="14.75" style="62" customWidth="1"/>
    <col min="1044" max="1046" width="14.75" style="62" bestFit="1" customWidth="1"/>
    <col min="1047" max="1280" width="13.625" style="62"/>
    <col min="1281" max="1281" width="8.5" style="62" customWidth="1"/>
    <col min="1282" max="1282" width="10.375" style="62" customWidth="1"/>
    <col min="1283" max="1297" width="0" style="62" hidden="1" customWidth="1"/>
    <col min="1298" max="1298" width="14.75" style="62" bestFit="1" customWidth="1"/>
    <col min="1299" max="1299" width="14.75" style="62" customWidth="1"/>
    <col min="1300" max="1302" width="14.75" style="62" bestFit="1" customWidth="1"/>
    <col min="1303" max="1536" width="13.625" style="62"/>
    <col min="1537" max="1537" width="8.5" style="62" customWidth="1"/>
    <col min="1538" max="1538" width="10.375" style="62" customWidth="1"/>
    <col min="1539" max="1553" width="0" style="62" hidden="1" customWidth="1"/>
    <col min="1554" max="1554" width="14.75" style="62" bestFit="1" customWidth="1"/>
    <col min="1555" max="1555" width="14.75" style="62" customWidth="1"/>
    <col min="1556" max="1558" width="14.75" style="62" bestFit="1" customWidth="1"/>
    <col min="1559" max="1792" width="13.625" style="62"/>
    <col min="1793" max="1793" width="8.5" style="62" customWidth="1"/>
    <col min="1794" max="1794" width="10.375" style="62" customWidth="1"/>
    <col min="1795" max="1809" width="0" style="62" hidden="1" customWidth="1"/>
    <col min="1810" max="1810" width="14.75" style="62" bestFit="1" customWidth="1"/>
    <col min="1811" max="1811" width="14.75" style="62" customWidth="1"/>
    <col min="1812" max="1814" width="14.75" style="62" bestFit="1" customWidth="1"/>
    <col min="1815" max="2048" width="13.625" style="62"/>
    <col min="2049" max="2049" width="8.5" style="62" customWidth="1"/>
    <col min="2050" max="2050" width="10.375" style="62" customWidth="1"/>
    <col min="2051" max="2065" width="0" style="62" hidden="1" customWidth="1"/>
    <col min="2066" max="2066" width="14.75" style="62" bestFit="1" customWidth="1"/>
    <col min="2067" max="2067" width="14.75" style="62" customWidth="1"/>
    <col min="2068" max="2070" width="14.75" style="62" bestFit="1" customWidth="1"/>
    <col min="2071" max="2304" width="13.625" style="62"/>
    <col min="2305" max="2305" width="8.5" style="62" customWidth="1"/>
    <col min="2306" max="2306" width="10.375" style="62" customWidth="1"/>
    <col min="2307" max="2321" width="0" style="62" hidden="1" customWidth="1"/>
    <col min="2322" max="2322" width="14.75" style="62" bestFit="1" customWidth="1"/>
    <col min="2323" max="2323" width="14.75" style="62" customWidth="1"/>
    <col min="2324" max="2326" width="14.75" style="62" bestFit="1" customWidth="1"/>
    <col min="2327" max="2560" width="13.625" style="62"/>
    <col min="2561" max="2561" width="8.5" style="62" customWidth="1"/>
    <col min="2562" max="2562" width="10.375" style="62" customWidth="1"/>
    <col min="2563" max="2577" width="0" style="62" hidden="1" customWidth="1"/>
    <col min="2578" max="2578" width="14.75" style="62" bestFit="1" customWidth="1"/>
    <col min="2579" max="2579" width="14.75" style="62" customWidth="1"/>
    <col min="2580" max="2582" width="14.75" style="62" bestFit="1" customWidth="1"/>
    <col min="2583" max="2816" width="13.625" style="62"/>
    <col min="2817" max="2817" width="8.5" style="62" customWidth="1"/>
    <col min="2818" max="2818" width="10.375" style="62" customWidth="1"/>
    <col min="2819" max="2833" width="0" style="62" hidden="1" customWidth="1"/>
    <col min="2834" max="2834" width="14.75" style="62" bestFit="1" customWidth="1"/>
    <col min="2835" max="2835" width="14.75" style="62" customWidth="1"/>
    <col min="2836" max="2838" width="14.75" style="62" bestFit="1" customWidth="1"/>
    <col min="2839" max="3072" width="13.625" style="62"/>
    <col min="3073" max="3073" width="8.5" style="62" customWidth="1"/>
    <col min="3074" max="3074" width="10.375" style="62" customWidth="1"/>
    <col min="3075" max="3089" width="0" style="62" hidden="1" customWidth="1"/>
    <col min="3090" max="3090" width="14.75" style="62" bestFit="1" customWidth="1"/>
    <col min="3091" max="3091" width="14.75" style="62" customWidth="1"/>
    <col min="3092" max="3094" width="14.75" style="62" bestFit="1" customWidth="1"/>
    <col min="3095" max="3328" width="13.625" style="62"/>
    <col min="3329" max="3329" width="8.5" style="62" customWidth="1"/>
    <col min="3330" max="3330" width="10.375" style="62" customWidth="1"/>
    <col min="3331" max="3345" width="0" style="62" hidden="1" customWidth="1"/>
    <col min="3346" max="3346" width="14.75" style="62" bestFit="1" customWidth="1"/>
    <col min="3347" max="3347" width="14.75" style="62" customWidth="1"/>
    <col min="3348" max="3350" width="14.75" style="62" bestFit="1" customWidth="1"/>
    <col min="3351" max="3584" width="13.625" style="62"/>
    <col min="3585" max="3585" width="8.5" style="62" customWidth="1"/>
    <col min="3586" max="3586" width="10.375" style="62" customWidth="1"/>
    <col min="3587" max="3601" width="0" style="62" hidden="1" customWidth="1"/>
    <col min="3602" max="3602" width="14.75" style="62" bestFit="1" customWidth="1"/>
    <col min="3603" max="3603" width="14.75" style="62" customWidth="1"/>
    <col min="3604" max="3606" width="14.75" style="62" bestFit="1" customWidth="1"/>
    <col min="3607" max="3840" width="13.625" style="62"/>
    <col min="3841" max="3841" width="8.5" style="62" customWidth="1"/>
    <col min="3842" max="3842" width="10.375" style="62" customWidth="1"/>
    <col min="3843" max="3857" width="0" style="62" hidden="1" customWidth="1"/>
    <col min="3858" max="3858" width="14.75" style="62" bestFit="1" customWidth="1"/>
    <col min="3859" max="3859" width="14.75" style="62" customWidth="1"/>
    <col min="3860" max="3862" width="14.75" style="62" bestFit="1" customWidth="1"/>
    <col min="3863" max="4096" width="13.625" style="62"/>
    <col min="4097" max="4097" width="8.5" style="62" customWidth="1"/>
    <col min="4098" max="4098" width="10.375" style="62" customWidth="1"/>
    <col min="4099" max="4113" width="0" style="62" hidden="1" customWidth="1"/>
    <col min="4114" max="4114" width="14.75" style="62" bestFit="1" customWidth="1"/>
    <col min="4115" max="4115" width="14.75" style="62" customWidth="1"/>
    <col min="4116" max="4118" width="14.75" style="62" bestFit="1" customWidth="1"/>
    <col min="4119" max="4352" width="13.625" style="62"/>
    <col min="4353" max="4353" width="8.5" style="62" customWidth="1"/>
    <col min="4354" max="4354" width="10.375" style="62" customWidth="1"/>
    <col min="4355" max="4369" width="0" style="62" hidden="1" customWidth="1"/>
    <col min="4370" max="4370" width="14.75" style="62" bestFit="1" customWidth="1"/>
    <col min="4371" max="4371" width="14.75" style="62" customWidth="1"/>
    <col min="4372" max="4374" width="14.75" style="62" bestFit="1" customWidth="1"/>
    <col min="4375" max="4608" width="13.625" style="62"/>
    <col min="4609" max="4609" width="8.5" style="62" customWidth="1"/>
    <col min="4610" max="4610" width="10.375" style="62" customWidth="1"/>
    <col min="4611" max="4625" width="0" style="62" hidden="1" customWidth="1"/>
    <col min="4626" max="4626" width="14.75" style="62" bestFit="1" customWidth="1"/>
    <col min="4627" max="4627" width="14.75" style="62" customWidth="1"/>
    <col min="4628" max="4630" width="14.75" style="62" bestFit="1" customWidth="1"/>
    <col min="4631" max="4864" width="13.625" style="62"/>
    <col min="4865" max="4865" width="8.5" style="62" customWidth="1"/>
    <col min="4866" max="4866" width="10.375" style="62" customWidth="1"/>
    <col min="4867" max="4881" width="0" style="62" hidden="1" customWidth="1"/>
    <col min="4882" max="4882" width="14.75" style="62" bestFit="1" customWidth="1"/>
    <col min="4883" max="4883" width="14.75" style="62" customWidth="1"/>
    <col min="4884" max="4886" width="14.75" style="62" bestFit="1" customWidth="1"/>
    <col min="4887" max="5120" width="13.625" style="62"/>
    <col min="5121" max="5121" width="8.5" style="62" customWidth="1"/>
    <col min="5122" max="5122" width="10.375" style="62" customWidth="1"/>
    <col min="5123" max="5137" width="0" style="62" hidden="1" customWidth="1"/>
    <col min="5138" max="5138" width="14.75" style="62" bestFit="1" customWidth="1"/>
    <col min="5139" max="5139" width="14.75" style="62" customWidth="1"/>
    <col min="5140" max="5142" width="14.75" style="62" bestFit="1" customWidth="1"/>
    <col min="5143" max="5376" width="13.625" style="62"/>
    <col min="5377" max="5377" width="8.5" style="62" customWidth="1"/>
    <col min="5378" max="5378" width="10.375" style="62" customWidth="1"/>
    <col min="5379" max="5393" width="0" style="62" hidden="1" customWidth="1"/>
    <col min="5394" max="5394" width="14.75" style="62" bestFit="1" customWidth="1"/>
    <col min="5395" max="5395" width="14.75" style="62" customWidth="1"/>
    <col min="5396" max="5398" width="14.75" style="62" bestFit="1" customWidth="1"/>
    <col min="5399" max="5632" width="13.625" style="62"/>
    <col min="5633" max="5633" width="8.5" style="62" customWidth="1"/>
    <col min="5634" max="5634" width="10.375" style="62" customWidth="1"/>
    <col min="5635" max="5649" width="0" style="62" hidden="1" customWidth="1"/>
    <col min="5650" max="5650" width="14.75" style="62" bestFit="1" customWidth="1"/>
    <col min="5651" max="5651" width="14.75" style="62" customWidth="1"/>
    <col min="5652" max="5654" width="14.75" style="62" bestFit="1" customWidth="1"/>
    <col min="5655" max="5888" width="13.625" style="62"/>
    <col min="5889" max="5889" width="8.5" style="62" customWidth="1"/>
    <col min="5890" max="5890" width="10.375" style="62" customWidth="1"/>
    <col min="5891" max="5905" width="0" style="62" hidden="1" customWidth="1"/>
    <col min="5906" max="5906" width="14.75" style="62" bestFit="1" customWidth="1"/>
    <col min="5907" max="5907" width="14.75" style="62" customWidth="1"/>
    <col min="5908" max="5910" width="14.75" style="62" bestFit="1" customWidth="1"/>
    <col min="5911" max="6144" width="13.625" style="62"/>
    <col min="6145" max="6145" width="8.5" style="62" customWidth="1"/>
    <col min="6146" max="6146" width="10.375" style="62" customWidth="1"/>
    <col min="6147" max="6161" width="0" style="62" hidden="1" customWidth="1"/>
    <col min="6162" max="6162" width="14.75" style="62" bestFit="1" customWidth="1"/>
    <col min="6163" max="6163" width="14.75" style="62" customWidth="1"/>
    <col min="6164" max="6166" width="14.75" style="62" bestFit="1" customWidth="1"/>
    <col min="6167" max="6400" width="13.625" style="62"/>
    <col min="6401" max="6401" width="8.5" style="62" customWidth="1"/>
    <col min="6402" max="6402" width="10.375" style="62" customWidth="1"/>
    <col min="6403" max="6417" width="0" style="62" hidden="1" customWidth="1"/>
    <col min="6418" max="6418" width="14.75" style="62" bestFit="1" customWidth="1"/>
    <col min="6419" max="6419" width="14.75" style="62" customWidth="1"/>
    <col min="6420" max="6422" width="14.75" style="62" bestFit="1" customWidth="1"/>
    <col min="6423" max="6656" width="13.625" style="62"/>
    <col min="6657" max="6657" width="8.5" style="62" customWidth="1"/>
    <col min="6658" max="6658" width="10.375" style="62" customWidth="1"/>
    <col min="6659" max="6673" width="0" style="62" hidden="1" customWidth="1"/>
    <col min="6674" max="6674" width="14.75" style="62" bestFit="1" customWidth="1"/>
    <col min="6675" max="6675" width="14.75" style="62" customWidth="1"/>
    <col min="6676" max="6678" width="14.75" style="62" bestFit="1" customWidth="1"/>
    <col min="6679" max="6912" width="13.625" style="62"/>
    <col min="6913" max="6913" width="8.5" style="62" customWidth="1"/>
    <col min="6914" max="6914" width="10.375" style="62" customWidth="1"/>
    <col min="6915" max="6929" width="0" style="62" hidden="1" customWidth="1"/>
    <col min="6930" max="6930" width="14.75" style="62" bestFit="1" customWidth="1"/>
    <col min="6931" max="6931" width="14.75" style="62" customWidth="1"/>
    <col min="6932" max="6934" width="14.75" style="62" bestFit="1" customWidth="1"/>
    <col min="6935" max="7168" width="13.625" style="62"/>
    <col min="7169" max="7169" width="8.5" style="62" customWidth="1"/>
    <col min="7170" max="7170" width="10.375" style="62" customWidth="1"/>
    <col min="7171" max="7185" width="0" style="62" hidden="1" customWidth="1"/>
    <col min="7186" max="7186" width="14.75" style="62" bestFit="1" customWidth="1"/>
    <col min="7187" max="7187" width="14.75" style="62" customWidth="1"/>
    <col min="7188" max="7190" width="14.75" style="62" bestFit="1" customWidth="1"/>
    <col min="7191" max="7424" width="13.625" style="62"/>
    <col min="7425" max="7425" width="8.5" style="62" customWidth="1"/>
    <col min="7426" max="7426" width="10.375" style="62" customWidth="1"/>
    <col min="7427" max="7441" width="0" style="62" hidden="1" customWidth="1"/>
    <col min="7442" max="7442" width="14.75" style="62" bestFit="1" customWidth="1"/>
    <col min="7443" max="7443" width="14.75" style="62" customWidth="1"/>
    <col min="7444" max="7446" width="14.75" style="62" bestFit="1" customWidth="1"/>
    <col min="7447" max="7680" width="13.625" style="62"/>
    <col min="7681" max="7681" width="8.5" style="62" customWidth="1"/>
    <col min="7682" max="7682" width="10.375" style="62" customWidth="1"/>
    <col min="7683" max="7697" width="0" style="62" hidden="1" customWidth="1"/>
    <col min="7698" max="7698" width="14.75" style="62" bestFit="1" customWidth="1"/>
    <col min="7699" max="7699" width="14.75" style="62" customWidth="1"/>
    <col min="7700" max="7702" width="14.75" style="62" bestFit="1" customWidth="1"/>
    <col min="7703" max="7936" width="13.625" style="62"/>
    <col min="7937" max="7937" width="8.5" style="62" customWidth="1"/>
    <col min="7938" max="7938" width="10.375" style="62" customWidth="1"/>
    <col min="7939" max="7953" width="0" style="62" hidden="1" customWidth="1"/>
    <col min="7954" max="7954" width="14.75" style="62" bestFit="1" customWidth="1"/>
    <col min="7955" max="7955" width="14.75" style="62" customWidth="1"/>
    <col min="7956" max="7958" width="14.75" style="62" bestFit="1" customWidth="1"/>
    <col min="7959" max="8192" width="13.625" style="62"/>
    <col min="8193" max="8193" width="8.5" style="62" customWidth="1"/>
    <col min="8194" max="8194" width="10.375" style="62" customWidth="1"/>
    <col min="8195" max="8209" width="0" style="62" hidden="1" customWidth="1"/>
    <col min="8210" max="8210" width="14.75" style="62" bestFit="1" customWidth="1"/>
    <col min="8211" max="8211" width="14.75" style="62" customWidth="1"/>
    <col min="8212" max="8214" width="14.75" style="62" bestFit="1" customWidth="1"/>
    <col min="8215" max="8448" width="13.625" style="62"/>
    <col min="8449" max="8449" width="8.5" style="62" customWidth="1"/>
    <col min="8450" max="8450" width="10.375" style="62" customWidth="1"/>
    <col min="8451" max="8465" width="0" style="62" hidden="1" customWidth="1"/>
    <col min="8466" max="8466" width="14.75" style="62" bestFit="1" customWidth="1"/>
    <col min="8467" max="8467" width="14.75" style="62" customWidth="1"/>
    <col min="8468" max="8470" width="14.75" style="62" bestFit="1" customWidth="1"/>
    <col min="8471" max="8704" width="13.625" style="62"/>
    <col min="8705" max="8705" width="8.5" style="62" customWidth="1"/>
    <col min="8706" max="8706" width="10.375" style="62" customWidth="1"/>
    <col min="8707" max="8721" width="0" style="62" hidden="1" customWidth="1"/>
    <col min="8722" max="8722" width="14.75" style="62" bestFit="1" customWidth="1"/>
    <col min="8723" max="8723" width="14.75" style="62" customWidth="1"/>
    <col min="8724" max="8726" width="14.75" style="62" bestFit="1" customWidth="1"/>
    <col min="8727" max="8960" width="13.625" style="62"/>
    <col min="8961" max="8961" width="8.5" style="62" customWidth="1"/>
    <col min="8962" max="8962" width="10.375" style="62" customWidth="1"/>
    <col min="8963" max="8977" width="0" style="62" hidden="1" customWidth="1"/>
    <col min="8978" max="8978" width="14.75" style="62" bestFit="1" customWidth="1"/>
    <col min="8979" max="8979" width="14.75" style="62" customWidth="1"/>
    <col min="8980" max="8982" width="14.75" style="62" bestFit="1" customWidth="1"/>
    <col min="8983" max="9216" width="13.625" style="62"/>
    <col min="9217" max="9217" width="8.5" style="62" customWidth="1"/>
    <col min="9218" max="9218" width="10.375" style="62" customWidth="1"/>
    <col min="9219" max="9233" width="0" style="62" hidden="1" customWidth="1"/>
    <col min="9234" max="9234" width="14.75" style="62" bestFit="1" customWidth="1"/>
    <col min="9235" max="9235" width="14.75" style="62" customWidth="1"/>
    <col min="9236" max="9238" width="14.75" style="62" bestFit="1" customWidth="1"/>
    <col min="9239" max="9472" width="13.625" style="62"/>
    <col min="9473" max="9473" width="8.5" style="62" customWidth="1"/>
    <col min="9474" max="9474" width="10.375" style="62" customWidth="1"/>
    <col min="9475" max="9489" width="0" style="62" hidden="1" customWidth="1"/>
    <col min="9490" max="9490" width="14.75" style="62" bestFit="1" customWidth="1"/>
    <col min="9491" max="9491" width="14.75" style="62" customWidth="1"/>
    <col min="9492" max="9494" width="14.75" style="62" bestFit="1" customWidth="1"/>
    <col min="9495" max="9728" width="13.625" style="62"/>
    <col min="9729" max="9729" width="8.5" style="62" customWidth="1"/>
    <col min="9730" max="9730" width="10.375" style="62" customWidth="1"/>
    <col min="9731" max="9745" width="0" style="62" hidden="1" customWidth="1"/>
    <col min="9746" max="9746" width="14.75" style="62" bestFit="1" customWidth="1"/>
    <col min="9747" max="9747" width="14.75" style="62" customWidth="1"/>
    <col min="9748" max="9750" width="14.75" style="62" bestFit="1" customWidth="1"/>
    <col min="9751" max="9984" width="13.625" style="62"/>
    <col min="9985" max="9985" width="8.5" style="62" customWidth="1"/>
    <col min="9986" max="9986" width="10.375" style="62" customWidth="1"/>
    <col min="9987" max="10001" width="0" style="62" hidden="1" customWidth="1"/>
    <col min="10002" max="10002" width="14.75" style="62" bestFit="1" customWidth="1"/>
    <col min="10003" max="10003" width="14.75" style="62" customWidth="1"/>
    <col min="10004" max="10006" width="14.75" style="62" bestFit="1" customWidth="1"/>
    <col min="10007" max="10240" width="13.625" style="62"/>
    <col min="10241" max="10241" width="8.5" style="62" customWidth="1"/>
    <col min="10242" max="10242" width="10.375" style="62" customWidth="1"/>
    <col min="10243" max="10257" width="0" style="62" hidden="1" customWidth="1"/>
    <col min="10258" max="10258" width="14.75" style="62" bestFit="1" customWidth="1"/>
    <col min="10259" max="10259" width="14.75" style="62" customWidth="1"/>
    <col min="10260" max="10262" width="14.75" style="62" bestFit="1" customWidth="1"/>
    <col min="10263" max="10496" width="13.625" style="62"/>
    <col min="10497" max="10497" width="8.5" style="62" customWidth="1"/>
    <col min="10498" max="10498" width="10.375" style="62" customWidth="1"/>
    <col min="10499" max="10513" width="0" style="62" hidden="1" customWidth="1"/>
    <col min="10514" max="10514" width="14.75" style="62" bestFit="1" customWidth="1"/>
    <col min="10515" max="10515" width="14.75" style="62" customWidth="1"/>
    <col min="10516" max="10518" width="14.75" style="62" bestFit="1" customWidth="1"/>
    <col min="10519" max="10752" width="13.625" style="62"/>
    <col min="10753" max="10753" width="8.5" style="62" customWidth="1"/>
    <col min="10754" max="10754" width="10.375" style="62" customWidth="1"/>
    <col min="10755" max="10769" width="0" style="62" hidden="1" customWidth="1"/>
    <col min="10770" max="10770" width="14.75" style="62" bestFit="1" customWidth="1"/>
    <col min="10771" max="10771" width="14.75" style="62" customWidth="1"/>
    <col min="10772" max="10774" width="14.75" style="62" bestFit="1" customWidth="1"/>
    <col min="10775" max="11008" width="13.625" style="62"/>
    <col min="11009" max="11009" width="8.5" style="62" customWidth="1"/>
    <col min="11010" max="11010" width="10.375" style="62" customWidth="1"/>
    <col min="11011" max="11025" width="0" style="62" hidden="1" customWidth="1"/>
    <col min="11026" max="11026" width="14.75" style="62" bestFit="1" customWidth="1"/>
    <col min="11027" max="11027" width="14.75" style="62" customWidth="1"/>
    <col min="11028" max="11030" width="14.75" style="62" bestFit="1" customWidth="1"/>
    <col min="11031" max="11264" width="13.625" style="62"/>
    <col min="11265" max="11265" width="8.5" style="62" customWidth="1"/>
    <col min="11266" max="11266" width="10.375" style="62" customWidth="1"/>
    <col min="11267" max="11281" width="0" style="62" hidden="1" customWidth="1"/>
    <col min="11282" max="11282" width="14.75" style="62" bestFit="1" customWidth="1"/>
    <col min="11283" max="11283" width="14.75" style="62" customWidth="1"/>
    <col min="11284" max="11286" width="14.75" style="62" bestFit="1" customWidth="1"/>
    <col min="11287" max="11520" width="13.625" style="62"/>
    <col min="11521" max="11521" width="8.5" style="62" customWidth="1"/>
    <col min="11522" max="11522" width="10.375" style="62" customWidth="1"/>
    <col min="11523" max="11537" width="0" style="62" hidden="1" customWidth="1"/>
    <col min="11538" max="11538" width="14.75" style="62" bestFit="1" customWidth="1"/>
    <col min="11539" max="11539" width="14.75" style="62" customWidth="1"/>
    <col min="11540" max="11542" width="14.75" style="62" bestFit="1" customWidth="1"/>
    <col min="11543" max="11776" width="13.625" style="62"/>
    <col min="11777" max="11777" width="8.5" style="62" customWidth="1"/>
    <col min="11778" max="11778" width="10.375" style="62" customWidth="1"/>
    <col min="11779" max="11793" width="0" style="62" hidden="1" customWidth="1"/>
    <col min="11794" max="11794" width="14.75" style="62" bestFit="1" customWidth="1"/>
    <col min="11795" max="11795" width="14.75" style="62" customWidth="1"/>
    <col min="11796" max="11798" width="14.75" style="62" bestFit="1" customWidth="1"/>
    <col min="11799" max="12032" width="13.625" style="62"/>
    <col min="12033" max="12033" width="8.5" style="62" customWidth="1"/>
    <col min="12034" max="12034" width="10.375" style="62" customWidth="1"/>
    <col min="12035" max="12049" width="0" style="62" hidden="1" customWidth="1"/>
    <col min="12050" max="12050" width="14.75" style="62" bestFit="1" customWidth="1"/>
    <col min="12051" max="12051" width="14.75" style="62" customWidth="1"/>
    <col min="12052" max="12054" width="14.75" style="62" bestFit="1" customWidth="1"/>
    <col min="12055" max="12288" width="13.625" style="62"/>
    <col min="12289" max="12289" width="8.5" style="62" customWidth="1"/>
    <col min="12290" max="12290" width="10.375" style="62" customWidth="1"/>
    <col min="12291" max="12305" width="0" style="62" hidden="1" customWidth="1"/>
    <col min="12306" max="12306" width="14.75" style="62" bestFit="1" customWidth="1"/>
    <col min="12307" max="12307" width="14.75" style="62" customWidth="1"/>
    <col min="12308" max="12310" width="14.75" style="62" bestFit="1" customWidth="1"/>
    <col min="12311" max="12544" width="13.625" style="62"/>
    <col min="12545" max="12545" width="8.5" style="62" customWidth="1"/>
    <col min="12546" max="12546" width="10.375" style="62" customWidth="1"/>
    <col min="12547" max="12561" width="0" style="62" hidden="1" customWidth="1"/>
    <col min="12562" max="12562" width="14.75" style="62" bestFit="1" customWidth="1"/>
    <col min="12563" max="12563" width="14.75" style="62" customWidth="1"/>
    <col min="12564" max="12566" width="14.75" style="62" bestFit="1" customWidth="1"/>
    <col min="12567" max="12800" width="13.625" style="62"/>
    <col min="12801" max="12801" width="8.5" style="62" customWidth="1"/>
    <col min="12802" max="12802" width="10.375" style="62" customWidth="1"/>
    <col min="12803" max="12817" width="0" style="62" hidden="1" customWidth="1"/>
    <col min="12818" max="12818" width="14.75" style="62" bestFit="1" customWidth="1"/>
    <col min="12819" max="12819" width="14.75" style="62" customWidth="1"/>
    <col min="12820" max="12822" width="14.75" style="62" bestFit="1" customWidth="1"/>
    <col min="12823" max="13056" width="13.625" style="62"/>
    <col min="13057" max="13057" width="8.5" style="62" customWidth="1"/>
    <col min="13058" max="13058" width="10.375" style="62" customWidth="1"/>
    <col min="13059" max="13073" width="0" style="62" hidden="1" customWidth="1"/>
    <col min="13074" max="13074" width="14.75" style="62" bestFit="1" customWidth="1"/>
    <col min="13075" max="13075" width="14.75" style="62" customWidth="1"/>
    <col min="13076" max="13078" width="14.75" style="62" bestFit="1" customWidth="1"/>
    <col min="13079" max="13312" width="13.625" style="62"/>
    <col min="13313" max="13313" width="8.5" style="62" customWidth="1"/>
    <col min="13314" max="13314" width="10.375" style="62" customWidth="1"/>
    <col min="13315" max="13329" width="0" style="62" hidden="1" customWidth="1"/>
    <col min="13330" max="13330" width="14.75" style="62" bestFit="1" customWidth="1"/>
    <col min="13331" max="13331" width="14.75" style="62" customWidth="1"/>
    <col min="13332" max="13334" width="14.75" style="62" bestFit="1" customWidth="1"/>
    <col min="13335" max="13568" width="13.625" style="62"/>
    <col min="13569" max="13569" width="8.5" style="62" customWidth="1"/>
    <col min="13570" max="13570" width="10.375" style="62" customWidth="1"/>
    <col min="13571" max="13585" width="0" style="62" hidden="1" customWidth="1"/>
    <col min="13586" max="13586" width="14.75" style="62" bestFit="1" customWidth="1"/>
    <col min="13587" max="13587" width="14.75" style="62" customWidth="1"/>
    <col min="13588" max="13590" width="14.75" style="62" bestFit="1" customWidth="1"/>
    <col min="13591" max="13824" width="13.625" style="62"/>
    <col min="13825" max="13825" width="8.5" style="62" customWidth="1"/>
    <col min="13826" max="13826" width="10.375" style="62" customWidth="1"/>
    <col min="13827" max="13841" width="0" style="62" hidden="1" customWidth="1"/>
    <col min="13842" max="13842" width="14.75" style="62" bestFit="1" customWidth="1"/>
    <col min="13843" max="13843" width="14.75" style="62" customWidth="1"/>
    <col min="13844" max="13846" width="14.75" style="62" bestFit="1" customWidth="1"/>
    <col min="13847" max="14080" width="13.625" style="62"/>
    <col min="14081" max="14081" width="8.5" style="62" customWidth="1"/>
    <col min="14082" max="14082" width="10.375" style="62" customWidth="1"/>
    <col min="14083" max="14097" width="0" style="62" hidden="1" customWidth="1"/>
    <col min="14098" max="14098" width="14.75" style="62" bestFit="1" customWidth="1"/>
    <col min="14099" max="14099" width="14.75" style="62" customWidth="1"/>
    <col min="14100" max="14102" width="14.75" style="62" bestFit="1" customWidth="1"/>
    <col min="14103" max="14336" width="13.625" style="62"/>
    <col min="14337" max="14337" width="8.5" style="62" customWidth="1"/>
    <col min="14338" max="14338" width="10.375" style="62" customWidth="1"/>
    <col min="14339" max="14353" width="0" style="62" hidden="1" customWidth="1"/>
    <col min="14354" max="14354" width="14.75" style="62" bestFit="1" customWidth="1"/>
    <col min="14355" max="14355" width="14.75" style="62" customWidth="1"/>
    <col min="14356" max="14358" width="14.75" style="62" bestFit="1" customWidth="1"/>
    <col min="14359" max="14592" width="13.625" style="62"/>
    <col min="14593" max="14593" width="8.5" style="62" customWidth="1"/>
    <col min="14594" max="14594" width="10.375" style="62" customWidth="1"/>
    <col min="14595" max="14609" width="0" style="62" hidden="1" customWidth="1"/>
    <col min="14610" max="14610" width="14.75" style="62" bestFit="1" customWidth="1"/>
    <col min="14611" max="14611" width="14.75" style="62" customWidth="1"/>
    <col min="14612" max="14614" width="14.75" style="62" bestFit="1" customWidth="1"/>
    <col min="14615" max="14848" width="13.625" style="62"/>
    <col min="14849" max="14849" width="8.5" style="62" customWidth="1"/>
    <col min="14850" max="14850" width="10.375" style="62" customWidth="1"/>
    <col min="14851" max="14865" width="0" style="62" hidden="1" customWidth="1"/>
    <col min="14866" max="14866" width="14.75" style="62" bestFit="1" customWidth="1"/>
    <col min="14867" max="14867" width="14.75" style="62" customWidth="1"/>
    <col min="14868" max="14870" width="14.75" style="62" bestFit="1" customWidth="1"/>
    <col min="14871" max="15104" width="13.625" style="62"/>
    <col min="15105" max="15105" width="8.5" style="62" customWidth="1"/>
    <col min="15106" max="15106" width="10.375" style="62" customWidth="1"/>
    <col min="15107" max="15121" width="0" style="62" hidden="1" customWidth="1"/>
    <col min="15122" max="15122" width="14.75" style="62" bestFit="1" customWidth="1"/>
    <col min="15123" max="15123" width="14.75" style="62" customWidth="1"/>
    <col min="15124" max="15126" width="14.75" style="62" bestFit="1" customWidth="1"/>
    <col min="15127" max="15360" width="13.625" style="62"/>
    <col min="15361" max="15361" width="8.5" style="62" customWidth="1"/>
    <col min="15362" max="15362" width="10.375" style="62" customWidth="1"/>
    <col min="15363" max="15377" width="0" style="62" hidden="1" customWidth="1"/>
    <col min="15378" max="15378" width="14.75" style="62" bestFit="1" customWidth="1"/>
    <col min="15379" max="15379" width="14.75" style="62" customWidth="1"/>
    <col min="15380" max="15382" width="14.75" style="62" bestFit="1" customWidth="1"/>
    <col min="15383" max="15616" width="13.625" style="62"/>
    <col min="15617" max="15617" width="8.5" style="62" customWidth="1"/>
    <col min="15618" max="15618" width="10.375" style="62" customWidth="1"/>
    <col min="15619" max="15633" width="0" style="62" hidden="1" customWidth="1"/>
    <col min="15634" max="15634" width="14.75" style="62" bestFit="1" customWidth="1"/>
    <col min="15635" max="15635" width="14.75" style="62" customWidth="1"/>
    <col min="15636" max="15638" width="14.75" style="62" bestFit="1" customWidth="1"/>
    <col min="15639" max="15872" width="13.625" style="62"/>
    <col min="15873" max="15873" width="8.5" style="62" customWidth="1"/>
    <col min="15874" max="15874" width="10.375" style="62" customWidth="1"/>
    <col min="15875" max="15889" width="0" style="62" hidden="1" customWidth="1"/>
    <col min="15890" max="15890" width="14.75" style="62" bestFit="1" customWidth="1"/>
    <col min="15891" max="15891" width="14.75" style="62" customWidth="1"/>
    <col min="15892" max="15894" width="14.75" style="62" bestFit="1" customWidth="1"/>
    <col min="15895" max="16128" width="13.625" style="62"/>
    <col min="16129" max="16129" width="8.5" style="62" customWidth="1"/>
    <col min="16130" max="16130" width="10.375" style="62" customWidth="1"/>
    <col min="16131" max="16145" width="0" style="62" hidden="1" customWidth="1"/>
    <col min="16146" max="16146" width="14.75" style="62" bestFit="1" customWidth="1"/>
    <col min="16147" max="16147" width="14.75" style="62" customWidth="1"/>
    <col min="16148" max="16150" width="14.75" style="62" bestFit="1" customWidth="1"/>
    <col min="16151" max="16384" width="13.625" style="62"/>
  </cols>
  <sheetData>
    <row r="1" spans="1:22" ht="27" customHeight="1" x14ac:dyDescent="0.2">
      <c r="A1" s="60"/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2" ht="27" customHeight="1" x14ac:dyDescent="0.2">
      <c r="A2" s="63" t="s">
        <v>49</v>
      </c>
      <c r="B2" s="64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2" ht="27" customHeight="1" thickBot="1" x14ac:dyDescent="0.2">
      <c r="A3" s="61" t="s">
        <v>50</v>
      </c>
      <c r="B3" s="61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 t="s">
        <v>51</v>
      </c>
    </row>
    <row r="4" spans="1:22" ht="22.5" customHeight="1" x14ac:dyDescent="0.15">
      <c r="A4" s="710" t="s">
        <v>3</v>
      </c>
      <c r="B4" s="711"/>
      <c r="C4" s="66" t="s">
        <v>4</v>
      </c>
      <c r="D4" s="67" t="s">
        <v>5</v>
      </c>
      <c r="E4" s="67" t="s">
        <v>6</v>
      </c>
      <c r="F4" s="67" t="s">
        <v>7</v>
      </c>
      <c r="G4" s="67" t="s">
        <v>8</v>
      </c>
      <c r="H4" s="68" t="s">
        <v>9</v>
      </c>
      <c r="I4" s="67" t="s">
        <v>10</v>
      </c>
      <c r="J4" s="68" t="s">
        <v>11</v>
      </c>
      <c r="K4" s="67" t="s">
        <v>12</v>
      </c>
      <c r="L4" s="67" t="s">
        <v>13</v>
      </c>
      <c r="M4" s="69" t="s">
        <v>35</v>
      </c>
      <c r="N4" s="69" t="s">
        <v>36</v>
      </c>
      <c r="O4" s="70" t="s">
        <v>37</v>
      </c>
      <c r="P4" s="70" t="s">
        <v>38</v>
      </c>
      <c r="Q4" s="70" t="s">
        <v>39</v>
      </c>
      <c r="R4" s="70" t="s">
        <v>40</v>
      </c>
      <c r="S4" s="70" t="s">
        <v>41</v>
      </c>
      <c r="T4" s="70" t="s">
        <v>42</v>
      </c>
      <c r="U4" s="71" t="s">
        <v>43</v>
      </c>
      <c r="V4" s="72" t="s">
        <v>44</v>
      </c>
    </row>
    <row r="5" spans="1:22" ht="22.5" customHeight="1" x14ac:dyDescent="0.15">
      <c r="A5" s="712" t="s">
        <v>26</v>
      </c>
      <c r="B5" s="713"/>
      <c r="C5" s="73"/>
      <c r="D5" s="73"/>
      <c r="E5" s="73"/>
      <c r="F5" s="73"/>
      <c r="G5" s="73"/>
      <c r="H5" s="74"/>
      <c r="I5" s="73"/>
      <c r="J5" s="74"/>
      <c r="K5" s="73"/>
      <c r="L5" s="73"/>
      <c r="M5" s="73"/>
      <c r="N5" s="73"/>
      <c r="O5" s="61"/>
      <c r="P5" s="75"/>
      <c r="Q5" s="75"/>
      <c r="R5" s="75"/>
      <c r="S5" s="75"/>
      <c r="T5" s="75"/>
      <c r="U5" s="76"/>
      <c r="V5" s="77"/>
    </row>
    <row r="6" spans="1:22" ht="22.5" customHeight="1" x14ac:dyDescent="0.15">
      <c r="A6" s="78"/>
      <c r="B6" s="79" t="s">
        <v>52</v>
      </c>
      <c r="C6" s="80">
        <v>12774581</v>
      </c>
      <c r="D6" s="80">
        <v>12109229</v>
      </c>
      <c r="E6" s="80">
        <v>12011116</v>
      </c>
      <c r="F6" s="80">
        <v>11764837</v>
      </c>
      <c r="G6" s="80">
        <v>11743419</v>
      </c>
      <c r="H6" s="81">
        <v>11711392</v>
      </c>
      <c r="I6" s="80">
        <v>11593505</v>
      </c>
      <c r="J6" s="81">
        <v>11421473</v>
      </c>
      <c r="K6" s="80">
        <v>11209740</v>
      </c>
      <c r="L6" s="80">
        <v>11042521</v>
      </c>
      <c r="M6" s="80">
        <v>11011319</v>
      </c>
      <c r="N6" s="80">
        <v>10913671</v>
      </c>
      <c r="O6" s="81">
        <v>10900804</v>
      </c>
      <c r="P6" s="82">
        <v>10881136</v>
      </c>
      <c r="Q6" s="82">
        <v>10828883</v>
      </c>
      <c r="R6" s="82">
        <v>10810759</v>
      </c>
      <c r="S6" s="82">
        <v>10801661</v>
      </c>
      <c r="T6" s="82">
        <v>10578688</v>
      </c>
      <c r="U6" s="80">
        <v>10516976</v>
      </c>
      <c r="V6" s="83">
        <v>10476624</v>
      </c>
    </row>
    <row r="7" spans="1:22" ht="22.5" customHeight="1" x14ac:dyDescent="0.15">
      <c r="A7" s="78"/>
      <c r="B7" s="79" t="s">
        <v>53</v>
      </c>
      <c r="C7" s="80">
        <v>11793326</v>
      </c>
      <c r="D7" s="80">
        <v>12182801</v>
      </c>
      <c r="E7" s="80">
        <v>11834609</v>
      </c>
      <c r="F7" s="80">
        <v>12228754</v>
      </c>
      <c r="G7" s="80">
        <v>12623329</v>
      </c>
      <c r="H7" s="81">
        <v>12306589</v>
      </c>
      <c r="I7" s="80">
        <v>12622597</v>
      </c>
      <c r="J7" s="81">
        <v>12891180</v>
      </c>
      <c r="K7" s="80">
        <v>11715649</v>
      </c>
      <c r="L7" s="80">
        <v>12014946</v>
      </c>
      <c r="M7" s="80">
        <v>12257051</v>
      </c>
      <c r="N7" s="80">
        <v>11943208</v>
      </c>
      <c r="O7" s="81">
        <v>12220403</v>
      </c>
      <c r="P7" s="82">
        <v>12495647</v>
      </c>
      <c r="Q7" s="82">
        <v>12263173</v>
      </c>
      <c r="R7" s="82">
        <v>12571506</v>
      </c>
      <c r="S7" s="82">
        <v>12892306</v>
      </c>
      <c r="T7" s="82">
        <v>12186473</v>
      </c>
      <c r="U7" s="80">
        <v>12971055</v>
      </c>
      <c r="V7" s="83">
        <v>13313552</v>
      </c>
    </row>
    <row r="8" spans="1:22" ht="22.5" customHeight="1" x14ac:dyDescent="0.15">
      <c r="A8" s="78"/>
      <c r="B8" s="79" t="s">
        <v>54</v>
      </c>
      <c r="C8" s="80">
        <v>2735578</v>
      </c>
      <c r="D8" s="80">
        <v>2659710</v>
      </c>
      <c r="E8" s="80">
        <v>2738906</v>
      </c>
      <c r="F8" s="80">
        <v>2720230</v>
      </c>
      <c r="G8" s="80">
        <v>2658700</v>
      </c>
      <c r="H8" s="81">
        <v>2579883</v>
      </c>
      <c r="I8" s="80">
        <v>2564511</v>
      </c>
      <c r="J8" s="81">
        <v>2498600</v>
      </c>
      <c r="K8" s="80">
        <v>2442100</v>
      </c>
      <c r="L8" s="80">
        <v>2431535</v>
      </c>
      <c r="M8" s="82">
        <v>2416911</v>
      </c>
      <c r="N8" s="82">
        <v>2480856</v>
      </c>
      <c r="O8" s="84">
        <v>2549960</v>
      </c>
      <c r="P8" s="84">
        <v>2568538</v>
      </c>
      <c r="Q8" s="84">
        <v>2592572</v>
      </c>
      <c r="R8" s="84">
        <v>2671263</v>
      </c>
      <c r="S8" s="84">
        <v>2658166</v>
      </c>
      <c r="T8" s="84">
        <v>2486988</v>
      </c>
      <c r="U8" s="85">
        <v>2634745</v>
      </c>
      <c r="V8" s="86">
        <v>2683740</v>
      </c>
    </row>
    <row r="9" spans="1:22" ht="22.5" customHeight="1" x14ac:dyDescent="0.15">
      <c r="A9" s="87"/>
      <c r="B9" s="88" t="s">
        <v>29</v>
      </c>
      <c r="C9" s="89">
        <f t="shared" ref="C9:J9" si="0">SUM(C6:C8)</f>
        <v>27303485</v>
      </c>
      <c r="D9" s="89">
        <f t="shared" si="0"/>
        <v>26951740</v>
      </c>
      <c r="E9" s="89">
        <f t="shared" si="0"/>
        <v>26584631</v>
      </c>
      <c r="F9" s="89">
        <f t="shared" si="0"/>
        <v>26713821</v>
      </c>
      <c r="G9" s="89">
        <f t="shared" si="0"/>
        <v>27025448</v>
      </c>
      <c r="H9" s="90">
        <f t="shared" si="0"/>
        <v>26597864</v>
      </c>
      <c r="I9" s="89">
        <f t="shared" si="0"/>
        <v>26780613</v>
      </c>
      <c r="J9" s="90">
        <f t="shared" si="0"/>
        <v>26811253</v>
      </c>
      <c r="K9" s="89">
        <f t="shared" ref="K9:Q9" si="1">SUM(K6:K8)</f>
        <v>25367489</v>
      </c>
      <c r="L9" s="89">
        <f t="shared" si="1"/>
        <v>25489002</v>
      </c>
      <c r="M9" s="89">
        <f t="shared" si="1"/>
        <v>25685281</v>
      </c>
      <c r="N9" s="89">
        <f t="shared" si="1"/>
        <v>25337735</v>
      </c>
      <c r="O9" s="90">
        <f t="shared" si="1"/>
        <v>25671167</v>
      </c>
      <c r="P9" s="91">
        <f>SUM(P6:P8)</f>
        <v>25945321</v>
      </c>
      <c r="Q9" s="91">
        <f t="shared" si="1"/>
        <v>25684628</v>
      </c>
      <c r="R9" s="91">
        <f>SUM(R6:R8)</f>
        <v>26053528</v>
      </c>
      <c r="S9" s="91">
        <f>SUM(S6:S8)</f>
        <v>26352133</v>
      </c>
      <c r="T9" s="91">
        <f>SUM(T6:T8)</f>
        <v>25252149</v>
      </c>
      <c r="U9" s="89">
        <f>SUM(U6:U8)</f>
        <v>26122776</v>
      </c>
      <c r="V9" s="92">
        <f>SUM(V6:V8)</f>
        <v>26473916</v>
      </c>
    </row>
    <row r="10" spans="1:22" ht="22.5" customHeight="1" x14ac:dyDescent="0.15">
      <c r="A10" s="714" t="s">
        <v>55</v>
      </c>
      <c r="B10" s="715"/>
      <c r="C10" s="80"/>
      <c r="D10" s="80"/>
      <c r="E10" s="80"/>
      <c r="F10" s="80"/>
      <c r="G10" s="80"/>
      <c r="H10" s="81"/>
      <c r="I10" s="80"/>
      <c r="J10" s="81"/>
      <c r="K10" s="80"/>
      <c r="L10" s="80"/>
      <c r="M10" s="80"/>
      <c r="N10" s="80"/>
      <c r="O10" s="81"/>
      <c r="P10" s="82"/>
      <c r="Q10" s="82"/>
      <c r="R10" s="82"/>
      <c r="S10" s="82"/>
      <c r="T10" s="82"/>
      <c r="U10" s="80"/>
      <c r="V10" s="83"/>
    </row>
    <row r="11" spans="1:22" ht="22.5" customHeight="1" x14ac:dyDescent="0.15">
      <c r="A11" s="716" t="s">
        <v>56</v>
      </c>
      <c r="B11" s="717"/>
      <c r="C11" s="80">
        <v>38361</v>
      </c>
      <c r="D11" s="80">
        <v>31895</v>
      </c>
      <c r="E11" s="80">
        <v>30402</v>
      </c>
      <c r="F11" s="80">
        <v>27975</v>
      </c>
      <c r="G11" s="80">
        <v>27330</v>
      </c>
      <c r="H11" s="81">
        <v>27135</v>
      </c>
      <c r="I11" s="80">
        <v>25142</v>
      </c>
      <c r="J11" s="81">
        <v>16225</v>
      </c>
      <c r="K11" s="80">
        <v>11748</v>
      </c>
      <c r="L11" s="80">
        <v>10731</v>
      </c>
      <c r="M11" s="80">
        <v>10301</v>
      </c>
      <c r="N11" s="80">
        <v>8963</v>
      </c>
      <c r="O11" s="81">
        <v>8219</v>
      </c>
      <c r="P11" s="82">
        <v>7327</v>
      </c>
      <c r="Q11" s="82">
        <v>7140</v>
      </c>
      <c r="R11" s="82">
        <v>7130</v>
      </c>
      <c r="S11" s="82">
        <v>6599</v>
      </c>
      <c r="T11" s="82">
        <v>7375</v>
      </c>
      <c r="U11" s="80">
        <v>7056</v>
      </c>
      <c r="V11" s="83">
        <v>6873</v>
      </c>
    </row>
    <row r="12" spans="1:22" ht="22.5" customHeight="1" x14ac:dyDescent="0.15">
      <c r="A12" s="716" t="s">
        <v>57</v>
      </c>
      <c r="B12" s="717"/>
      <c r="C12" s="80">
        <v>86545</v>
      </c>
      <c r="D12" s="80">
        <v>85042</v>
      </c>
      <c r="E12" s="80">
        <v>83264</v>
      </c>
      <c r="F12" s="80">
        <v>81853</v>
      </c>
      <c r="G12" s="80">
        <v>64050</v>
      </c>
      <c r="H12" s="81">
        <v>63937</v>
      </c>
      <c r="I12" s="80">
        <v>60271</v>
      </c>
      <c r="J12" s="81">
        <v>59526</v>
      </c>
      <c r="K12" s="80">
        <v>57236</v>
      </c>
      <c r="L12" s="80">
        <v>54474</v>
      </c>
      <c r="M12" s="80">
        <v>53125</v>
      </c>
      <c r="N12" s="80">
        <v>51884</v>
      </c>
      <c r="O12" s="93">
        <v>49570</v>
      </c>
      <c r="P12" s="84">
        <v>49340</v>
      </c>
      <c r="Q12" s="84">
        <v>46571</v>
      </c>
      <c r="R12" s="84">
        <v>44819</v>
      </c>
      <c r="S12" s="84">
        <v>43610</v>
      </c>
      <c r="T12" s="84">
        <v>42374</v>
      </c>
      <c r="U12" s="85">
        <v>41236</v>
      </c>
      <c r="V12" s="86">
        <v>40911</v>
      </c>
    </row>
    <row r="13" spans="1:22" ht="22.5" customHeight="1" x14ac:dyDescent="0.15">
      <c r="A13" s="87"/>
      <c r="B13" s="88" t="s">
        <v>29</v>
      </c>
      <c r="C13" s="89">
        <f t="shared" ref="C13:Q13" si="2">C11+C12</f>
        <v>124906</v>
      </c>
      <c r="D13" s="89">
        <f t="shared" si="2"/>
        <v>116937</v>
      </c>
      <c r="E13" s="89">
        <f t="shared" si="2"/>
        <v>113666</v>
      </c>
      <c r="F13" s="89">
        <f t="shared" si="2"/>
        <v>109828</v>
      </c>
      <c r="G13" s="89">
        <f t="shared" si="2"/>
        <v>91380</v>
      </c>
      <c r="H13" s="90">
        <f t="shared" si="2"/>
        <v>91072</v>
      </c>
      <c r="I13" s="89">
        <f t="shared" si="2"/>
        <v>85413</v>
      </c>
      <c r="J13" s="90">
        <f t="shared" si="2"/>
        <v>75751</v>
      </c>
      <c r="K13" s="89">
        <f t="shared" si="2"/>
        <v>68984</v>
      </c>
      <c r="L13" s="89">
        <f t="shared" si="2"/>
        <v>65205</v>
      </c>
      <c r="M13" s="89">
        <f t="shared" si="2"/>
        <v>63426</v>
      </c>
      <c r="N13" s="89">
        <f t="shared" si="2"/>
        <v>60847</v>
      </c>
      <c r="O13" s="90">
        <f t="shared" si="2"/>
        <v>57789</v>
      </c>
      <c r="P13" s="91">
        <f>P11+P12</f>
        <v>56667</v>
      </c>
      <c r="Q13" s="91">
        <f t="shared" si="2"/>
        <v>53711</v>
      </c>
      <c r="R13" s="91">
        <f>R11+R12</f>
        <v>51949</v>
      </c>
      <c r="S13" s="91">
        <f>S11+S12</f>
        <v>50209</v>
      </c>
      <c r="T13" s="91">
        <f>T11+T12</f>
        <v>49749</v>
      </c>
      <c r="U13" s="89">
        <f>U11+U12</f>
        <v>48292</v>
      </c>
      <c r="V13" s="92">
        <f>V11+V12</f>
        <v>47784</v>
      </c>
    </row>
    <row r="14" spans="1:22" ht="22.5" customHeight="1" x14ac:dyDescent="0.15">
      <c r="A14" s="708" t="s">
        <v>58</v>
      </c>
      <c r="B14" s="709"/>
      <c r="C14" s="89">
        <f t="shared" ref="C14:Q14" si="3">C9+C13</f>
        <v>27428391</v>
      </c>
      <c r="D14" s="89">
        <f t="shared" si="3"/>
        <v>27068677</v>
      </c>
      <c r="E14" s="89">
        <f t="shared" si="3"/>
        <v>26698297</v>
      </c>
      <c r="F14" s="89">
        <f t="shared" si="3"/>
        <v>26823649</v>
      </c>
      <c r="G14" s="89">
        <f t="shared" si="3"/>
        <v>27116828</v>
      </c>
      <c r="H14" s="90">
        <f t="shared" si="3"/>
        <v>26688936</v>
      </c>
      <c r="I14" s="89">
        <f>I9+I13</f>
        <v>26866026</v>
      </c>
      <c r="J14" s="90">
        <f t="shared" si="3"/>
        <v>26887004</v>
      </c>
      <c r="K14" s="89">
        <f t="shared" si="3"/>
        <v>25436473</v>
      </c>
      <c r="L14" s="89">
        <f t="shared" si="3"/>
        <v>25554207</v>
      </c>
      <c r="M14" s="89">
        <f t="shared" si="3"/>
        <v>25748707</v>
      </c>
      <c r="N14" s="89">
        <f t="shared" si="3"/>
        <v>25398582</v>
      </c>
      <c r="O14" s="90">
        <f t="shared" si="3"/>
        <v>25728956</v>
      </c>
      <c r="P14" s="91">
        <f>P9+P13</f>
        <v>26001988</v>
      </c>
      <c r="Q14" s="91">
        <f t="shared" si="3"/>
        <v>25738339</v>
      </c>
      <c r="R14" s="91">
        <f>R9+R13</f>
        <v>26105477</v>
      </c>
      <c r="S14" s="91">
        <f>S9+S13</f>
        <v>26402342</v>
      </c>
      <c r="T14" s="91">
        <f>T9+T13</f>
        <v>25301898</v>
      </c>
      <c r="U14" s="89">
        <f>U9+U13</f>
        <v>26171068</v>
      </c>
      <c r="V14" s="92">
        <f>V9+V13</f>
        <v>26521700</v>
      </c>
    </row>
    <row r="15" spans="1:22" ht="22.5" customHeight="1" thickBot="1" x14ac:dyDescent="0.2">
      <c r="A15" s="719" t="s">
        <v>30</v>
      </c>
      <c r="B15" s="720"/>
      <c r="C15" s="94">
        <v>94.4</v>
      </c>
      <c r="D15" s="94">
        <f t="shared" ref="D15:Q15" si="4">ROUND((D14/C14)*100,1)</f>
        <v>98.7</v>
      </c>
      <c r="E15" s="94">
        <f t="shared" si="4"/>
        <v>98.6</v>
      </c>
      <c r="F15" s="94">
        <f t="shared" si="4"/>
        <v>100.5</v>
      </c>
      <c r="G15" s="94">
        <f t="shared" si="4"/>
        <v>101.1</v>
      </c>
      <c r="H15" s="95">
        <f t="shared" si="4"/>
        <v>98.4</v>
      </c>
      <c r="I15" s="94">
        <f t="shared" si="4"/>
        <v>100.7</v>
      </c>
      <c r="J15" s="95">
        <f t="shared" si="4"/>
        <v>100.1</v>
      </c>
      <c r="K15" s="94">
        <f t="shared" si="4"/>
        <v>94.6</v>
      </c>
      <c r="L15" s="94">
        <f t="shared" si="4"/>
        <v>100.5</v>
      </c>
      <c r="M15" s="94">
        <f t="shared" si="4"/>
        <v>100.8</v>
      </c>
      <c r="N15" s="94">
        <f t="shared" si="4"/>
        <v>98.6</v>
      </c>
      <c r="O15" s="95">
        <f t="shared" si="4"/>
        <v>101.3</v>
      </c>
      <c r="P15" s="96">
        <f t="shared" si="4"/>
        <v>101.1</v>
      </c>
      <c r="Q15" s="96">
        <f t="shared" si="4"/>
        <v>99</v>
      </c>
      <c r="R15" s="96">
        <f>ROUND((R14/Q14)*100,1)</f>
        <v>101.4</v>
      </c>
      <c r="S15" s="96">
        <f>ROUND((S14/R14)*100,1)</f>
        <v>101.1</v>
      </c>
      <c r="T15" s="96">
        <f>ROUND((T14/S14)*100,1)</f>
        <v>95.8</v>
      </c>
      <c r="U15" s="94">
        <f>ROUND((U14/T14)*100,1)</f>
        <v>103.4</v>
      </c>
      <c r="V15" s="97">
        <f>ROUND((V14/U14)*100,1)</f>
        <v>101.3</v>
      </c>
    </row>
    <row r="16" spans="1:22" ht="22.5" customHeight="1" x14ac:dyDescent="0.1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</row>
    <row r="17" spans="1:22" ht="22.5" customHeight="1" x14ac:dyDescent="0.1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</row>
    <row r="18" spans="1:22" ht="22.5" customHeight="1" thickBot="1" x14ac:dyDescent="0.2">
      <c r="A18" s="61" t="s">
        <v>59</v>
      </c>
      <c r="B18" s="61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1"/>
      <c r="P18" s="61"/>
      <c r="Q18" s="61"/>
      <c r="R18" s="61"/>
      <c r="S18" s="61"/>
      <c r="T18" s="61"/>
      <c r="U18" s="61"/>
      <c r="V18" s="61" t="s">
        <v>51</v>
      </c>
    </row>
    <row r="19" spans="1:22" ht="22.5" customHeight="1" x14ac:dyDescent="0.15">
      <c r="A19" s="710" t="s">
        <v>3</v>
      </c>
      <c r="B19" s="711"/>
      <c r="C19" s="69" t="s">
        <v>4</v>
      </c>
      <c r="D19" s="67" t="s">
        <v>5</v>
      </c>
      <c r="E19" s="67" t="s">
        <v>6</v>
      </c>
      <c r="F19" s="67" t="s">
        <v>7</v>
      </c>
      <c r="G19" s="67" t="s">
        <v>8</v>
      </c>
      <c r="H19" s="68" t="s">
        <v>9</v>
      </c>
      <c r="I19" s="67" t="s">
        <v>10</v>
      </c>
      <c r="J19" s="68" t="s">
        <v>11</v>
      </c>
      <c r="K19" s="67" t="s">
        <v>12</v>
      </c>
      <c r="L19" s="67" t="s">
        <v>13</v>
      </c>
      <c r="M19" s="69" t="s">
        <v>35</v>
      </c>
      <c r="N19" s="69" t="s">
        <v>36</v>
      </c>
      <c r="O19" s="70" t="s">
        <v>37</v>
      </c>
      <c r="P19" s="70" t="s">
        <v>38</v>
      </c>
      <c r="Q19" s="70" t="s">
        <v>39</v>
      </c>
      <c r="R19" s="70" t="s">
        <v>40</v>
      </c>
      <c r="S19" s="70" t="s">
        <v>41</v>
      </c>
      <c r="T19" s="70" t="s">
        <v>42</v>
      </c>
      <c r="U19" s="71" t="s">
        <v>43</v>
      </c>
      <c r="V19" s="72" t="s">
        <v>44</v>
      </c>
    </row>
    <row r="20" spans="1:22" ht="22.5" customHeight="1" x14ac:dyDescent="0.15">
      <c r="A20" s="721" t="s">
        <v>46</v>
      </c>
      <c r="B20" s="722"/>
      <c r="C20" s="98">
        <v>3345433</v>
      </c>
      <c r="D20" s="98">
        <v>3144700</v>
      </c>
      <c r="E20" s="98">
        <v>2985047</v>
      </c>
      <c r="F20" s="98">
        <v>2916272</v>
      </c>
      <c r="G20" s="98">
        <v>2908768</v>
      </c>
      <c r="H20" s="99">
        <v>2903619</v>
      </c>
      <c r="I20" s="98">
        <v>2877717</v>
      </c>
      <c r="J20" s="99">
        <v>2956490</v>
      </c>
      <c r="K20" s="98">
        <v>2911310</v>
      </c>
      <c r="L20" s="98">
        <v>2880105</v>
      </c>
      <c r="M20" s="98">
        <v>2887060</v>
      </c>
      <c r="N20" s="98">
        <v>2881006</v>
      </c>
      <c r="O20" s="81">
        <v>2896324</v>
      </c>
      <c r="P20" s="82">
        <v>2912241</v>
      </c>
      <c r="Q20" s="82">
        <v>2922252</v>
      </c>
      <c r="R20" s="82">
        <v>2937831</v>
      </c>
      <c r="S20" s="82">
        <v>2952317</v>
      </c>
      <c r="T20" s="82">
        <v>2897201</v>
      </c>
      <c r="U20" s="80">
        <v>2894385</v>
      </c>
      <c r="V20" s="83">
        <v>2892323</v>
      </c>
    </row>
    <row r="21" spans="1:22" ht="22.5" customHeight="1" x14ac:dyDescent="0.15">
      <c r="A21" s="723" t="s">
        <v>47</v>
      </c>
      <c r="B21" s="724"/>
      <c r="C21" s="100">
        <v>2319809</v>
      </c>
      <c r="D21" s="100">
        <v>2397350</v>
      </c>
      <c r="E21" s="100">
        <v>2219446</v>
      </c>
      <c r="F21" s="100">
        <v>2290638</v>
      </c>
      <c r="G21" s="100">
        <v>2368654</v>
      </c>
      <c r="H21" s="101">
        <v>2315108</v>
      </c>
      <c r="I21" s="100">
        <v>2374991</v>
      </c>
      <c r="J21" s="101">
        <v>2566137</v>
      </c>
      <c r="K21" s="100">
        <v>2357786</v>
      </c>
      <c r="L21" s="100">
        <v>2443287</v>
      </c>
      <c r="M21" s="100">
        <v>2504207</v>
      </c>
      <c r="N21" s="100">
        <v>2456868</v>
      </c>
      <c r="O21" s="93">
        <v>2516152</v>
      </c>
      <c r="P21" s="84">
        <v>2572398</v>
      </c>
      <c r="Q21" s="84">
        <v>2523526</v>
      </c>
      <c r="R21" s="84">
        <v>2592624</v>
      </c>
      <c r="S21" s="84">
        <v>2663438</v>
      </c>
      <c r="T21" s="84">
        <v>2527010</v>
      </c>
      <c r="U21" s="85">
        <v>2692939</v>
      </c>
      <c r="V21" s="86">
        <v>2764568</v>
      </c>
    </row>
    <row r="22" spans="1:22" ht="22.5" customHeight="1" x14ac:dyDescent="0.15">
      <c r="A22" s="708" t="s">
        <v>58</v>
      </c>
      <c r="B22" s="709"/>
      <c r="C22" s="102">
        <f t="shared" ref="C22:T22" si="5">C20+C21</f>
        <v>5665242</v>
      </c>
      <c r="D22" s="103">
        <f t="shared" si="5"/>
        <v>5542050</v>
      </c>
      <c r="E22" s="103">
        <f t="shared" si="5"/>
        <v>5204493</v>
      </c>
      <c r="F22" s="103">
        <f t="shared" si="5"/>
        <v>5206910</v>
      </c>
      <c r="G22" s="103">
        <f t="shared" si="5"/>
        <v>5277422</v>
      </c>
      <c r="H22" s="104">
        <f t="shared" si="5"/>
        <v>5218727</v>
      </c>
      <c r="I22" s="103">
        <f t="shared" si="5"/>
        <v>5252708</v>
      </c>
      <c r="J22" s="104">
        <f t="shared" si="5"/>
        <v>5522627</v>
      </c>
      <c r="K22" s="103">
        <f t="shared" si="5"/>
        <v>5269096</v>
      </c>
      <c r="L22" s="103">
        <f t="shared" si="5"/>
        <v>5323392</v>
      </c>
      <c r="M22" s="103">
        <f t="shared" si="5"/>
        <v>5391267</v>
      </c>
      <c r="N22" s="103">
        <f t="shared" si="5"/>
        <v>5337874</v>
      </c>
      <c r="O22" s="90">
        <f t="shared" si="5"/>
        <v>5412476</v>
      </c>
      <c r="P22" s="91">
        <f t="shared" si="5"/>
        <v>5484639</v>
      </c>
      <c r="Q22" s="91">
        <f t="shared" si="5"/>
        <v>5445778</v>
      </c>
      <c r="R22" s="91">
        <f t="shared" si="5"/>
        <v>5530455</v>
      </c>
      <c r="S22" s="91">
        <f t="shared" si="5"/>
        <v>5615755</v>
      </c>
      <c r="T22" s="91">
        <f t="shared" si="5"/>
        <v>5424211</v>
      </c>
      <c r="U22" s="89">
        <f>U20+U21</f>
        <v>5587324</v>
      </c>
      <c r="V22" s="92">
        <f>V20+V21</f>
        <v>5656891</v>
      </c>
    </row>
    <row r="23" spans="1:22" ht="22.5" customHeight="1" thickBot="1" x14ac:dyDescent="0.2">
      <c r="A23" s="725" t="s">
        <v>30</v>
      </c>
      <c r="B23" s="726"/>
      <c r="C23" s="105">
        <v>93.4</v>
      </c>
      <c r="D23" s="106">
        <f t="shared" ref="D23:Q23" si="6">ROUND((D22/C22)*100,1)</f>
        <v>97.8</v>
      </c>
      <c r="E23" s="106">
        <f t="shared" si="6"/>
        <v>93.9</v>
      </c>
      <c r="F23" s="106">
        <f t="shared" si="6"/>
        <v>100</v>
      </c>
      <c r="G23" s="106">
        <f t="shared" si="6"/>
        <v>101.4</v>
      </c>
      <c r="H23" s="107">
        <f t="shared" si="6"/>
        <v>98.9</v>
      </c>
      <c r="I23" s="106">
        <f t="shared" si="6"/>
        <v>100.7</v>
      </c>
      <c r="J23" s="107">
        <f t="shared" si="6"/>
        <v>105.1</v>
      </c>
      <c r="K23" s="106">
        <f t="shared" si="6"/>
        <v>95.4</v>
      </c>
      <c r="L23" s="106">
        <f t="shared" si="6"/>
        <v>101</v>
      </c>
      <c r="M23" s="108">
        <f t="shared" si="6"/>
        <v>101.3</v>
      </c>
      <c r="N23" s="108">
        <f t="shared" si="6"/>
        <v>99</v>
      </c>
      <c r="O23" s="95">
        <f t="shared" si="6"/>
        <v>101.4</v>
      </c>
      <c r="P23" s="96">
        <f t="shared" si="6"/>
        <v>101.3</v>
      </c>
      <c r="Q23" s="96">
        <f t="shared" si="6"/>
        <v>99.3</v>
      </c>
      <c r="R23" s="96">
        <f>ROUND((R22/Q22)*100,1)</f>
        <v>101.6</v>
      </c>
      <c r="S23" s="96">
        <f>ROUND((S22/R22)*100,1)</f>
        <v>101.5</v>
      </c>
      <c r="T23" s="96">
        <f>ROUND((T22/S22)*100,1)</f>
        <v>96.6</v>
      </c>
      <c r="U23" s="94">
        <f>ROUND((U22/T22)*100,1)</f>
        <v>103</v>
      </c>
      <c r="V23" s="97">
        <f>ROUND((V22/U22)*100,1)</f>
        <v>101.2</v>
      </c>
    </row>
    <row r="24" spans="1:22" ht="22.5" customHeight="1" x14ac:dyDescent="0.15">
      <c r="A24" s="718"/>
      <c r="B24" s="718"/>
    </row>
  </sheetData>
  <mergeCells count="13">
    <mergeCell ref="A24:B24"/>
    <mergeCell ref="A15:B15"/>
    <mergeCell ref="A19:B19"/>
    <mergeCell ref="A20:B20"/>
    <mergeCell ref="A21:B21"/>
    <mergeCell ref="A22:B22"/>
    <mergeCell ref="A23:B23"/>
    <mergeCell ref="A14:B14"/>
    <mergeCell ref="A4:B4"/>
    <mergeCell ref="A5:B5"/>
    <mergeCell ref="A10:B10"/>
    <mergeCell ref="A11:B11"/>
    <mergeCell ref="A12:B12"/>
  </mergeCells>
  <phoneticPr fontId="4"/>
  <printOptions horizontalCentered="1"/>
  <pageMargins left="0.59055118110236227" right="0.59055118110236227" top="0.39370078740157483" bottom="0.19685039370078741" header="0.51181102362204722" footer="0.19685039370078741"/>
  <pageSetup paperSize="9" scale="9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41B22-93B9-4EA4-BA03-97F8BC218DE5}">
  <sheetPr>
    <pageSetUpPr fitToPage="1"/>
  </sheetPr>
  <dimension ref="A1:N89"/>
  <sheetViews>
    <sheetView showGridLines="0" view="pageBreakPreview" zoomScale="80" zoomScaleNormal="100" zoomScaleSheetLayoutView="80" workbookViewId="0">
      <pane xSplit="2" ySplit="5" topLeftCell="C66" activePane="bottomRight" state="frozen"/>
      <selection pane="topRight" activeCell="C1" sqref="C1"/>
      <selection pane="bottomLeft" activeCell="A6" sqref="A6"/>
      <selection pane="bottomRight"/>
    </sheetView>
  </sheetViews>
  <sheetFormatPr defaultRowHeight="20.25" customHeight="1" x14ac:dyDescent="0.15"/>
  <cols>
    <col min="1" max="1" width="10.625" style="111" customWidth="1"/>
    <col min="2" max="2" width="8.625" style="111" customWidth="1"/>
    <col min="3" max="3" width="13.625" style="111" customWidth="1"/>
    <col min="4" max="4" width="13.625" style="111" bestFit="1" customWidth="1"/>
    <col min="5" max="7" width="15.375" style="111" bestFit="1" customWidth="1"/>
    <col min="8" max="9" width="11.125" style="111" bestFit="1" customWidth="1"/>
    <col min="10" max="10" width="16.5" style="111" bestFit="1" customWidth="1"/>
    <col min="11" max="14" width="11" style="111" bestFit="1" customWidth="1"/>
    <col min="15" max="256" width="9" style="111"/>
    <col min="257" max="257" width="10.625" style="111" customWidth="1"/>
    <col min="258" max="258" width="8.625" style="111" customWidth="1"/>
    <col min="259" max="259" width="13.625" style="111" customWidth="1"/>
    <col min="260" max="260" width="13.625" style="111" bestFit="1" customWidth="1"/>
    <col min="261" max="263" width="15.375" style="111" bestFit="1" customWidth="1"/>
    <col min="264" max="265" width="11.125" style="111" bestFit="1" customWidth="1"/>
    <col min="266" max="266" width="16.5" style="111" bestFit="1" customWidth="1"/>
    <col min="267" max="270" width="11" style="111" bestFit="1" customWidth="1"/>
    <col min="271" max="512" width="9" style="111"/>
    <col min="513" max="513" width="10.625" style="111" customWidth="1"/>
    <col min="514" max="514" width="8.625" style="111" customWidth="1"/>
    <col min="515" max="515" width="13.625" style="111" customWidth="1"/>
    <col min="516" max="516" width="13.625" style="111" bestFit="1" customWidth="1"/>
    <col min="517" max="519" width="15.375" style="111" bestFit="1" customWidth="1"/>
    <col min="520" max="521" width="11.125" style="111" bestFit="1" customWidth="1"/>
    <col min="522" max="522" width="16.5" style="111" bestFit="1" customWidth="1"/>
    <col min="523" max="526" width="11" style="111" bestFit="1" customWidth="1"/>
    <col min="527" max="768" width="9" style="111"/>
    <col min="769" max="769" width="10.625" style="111" customWidth="1"/>
    <col min="770" max="770" width="8.625" style="111" customWidth="1"/>
    <col min="771" max="771" width="13.625" style="111" customWidth="1"/>
    <col min="772" max="772" width="13.625" style="111" bestFit="1" customWidth="1"/>
    <col min="773" max="775" width="15.375" style="111" bestFit="1" customWidth="1"/>
    <col min="776" max="777" width="11.125" style="111" bestFit="1" customWidth="1"/>
    <col min="778" max="778" width="16.5" style="111" bestFit="1" customWidth="1"/>
    <col min="779" max="782" width="11" style="111" bestFit="1" customWidth="1"/>
    <col min="783" max="1024" width="9" style="111"/>
    <col min="1025" max="1025" width="10.625" style="111" customWidth="1"/>
    <col min="1026" max="1026" width="8.625" style="111" customWidth="1"/>
    <col min="1027" max="1027" width="13.625" style="111" customWidth="1"/>
    <col min="1028" max="1028" width="13.625" style="111" bestFit="1" customWidth="1"/>
    <col min="1029" max="1031" width="15.375" style="111" bestFit="1" customWidth="1"/>
    <col min="1032" max="1033" width="11.125" style="111" bestFit="1" customWidth="1"/>
    <col min="1034" max="1034" width="16.5" style="111" bestFit="1" customWidth="1"/>
    <col min="1035" max="1038" width="11" style="111" bestFit="1" customWidth="1"/>
    <col min="1039" max="1280" width="9" style="111"/>
    <col min="1281" max="1281" width="10.625" style="111" customWidth="1"/>
    <col min="1282" max="1282" width="8.625" style="111" customWidth="1"/>
    <col min="1283" max="1283" width="13.625" style="111" customWidth="1"/>
    <col min="1284" max="1284" width="13.625" style="111" bestFit="1" customWidth="1"/>
    <col min="1285" max="1287" width="15.375" style="111" bestFit="1" customWidth="1"/>
    <col min="1288" max="1289" width="11.125" style="111" bestFit="1" customWidth="1"/>
    <col min="1290" max="1290" width="16.5" style="111" bestFit="1" customWidth="1"/>
    <col min="1291" max="1294" width="11" style="111" bestFit="1" customWidth="1"/>
    <col min="1295" max="1536" width="9" style="111"/>
    <col min="1537" max="1537" width="10.625" style="111" customWidth="1"/>
    <col min="1538" max="1538" width="8.625" style="111" customWidth="1"/>
    <col min="1539" max="1539" width="13.625" style="111" customWidth="1"/>
    <col min="1540" max="1540" width="13.625" style="111" bestFit="1" customWidth="1"/>
    <col min="1541" max="1543" width="15.375" style="111" bestFit="1" customWidth="1"/>
    <col min="1544" max="1545" width="11.125" style="111" bestFit="1" customWidth="1"/>
    <col min="1546" max="1546" width="16.5" style="111" bestFit="1" customWidth="1"/>
    <col min="1547" max="1550" width="11" style="111" bestFit="1" customWidth="1"/>
    <col min="1551" max="1792" width="9" style="111"/>
    <col min="1793" max="1793" width="10.625" style="111" customWidth="1"/>
    <col min="1794" max="1794" width="8.625" style="111" customWidth="1"/>
    <col min="1795" max="1795" width="13.625" style="111" customWidth="1"/>
    <col min="1796" max="1796" width="13.625" style="111" bestFit="1" customWidth="1"/>
    <col min="1797" max="1799" width="15.375" style="111" bestFit="1" customWidth="1"/>
    <col min="1800" max="1801" width="11.125" style="111" bestFit="1" customWidth="1"/>
    <col min="1802" max="1802" width="16.5" style="111" bestFit="1" customWidth="1"/>
    <col min="1803" max="1806" width="11" style="111" bestFit="1" customWidth="1"/>
    <col min="1807" max="2048" width="9" style="111"/>
    <col min="2049" max="2049" width="10.625" style="111" customWidth="1"/>
    <col min="2050" max="2050" width="8.625" style="111" customWidth="1"/>
    <col min="2051" max="2051" width="13.625" style="111" customWidth="1"/>
    <col min="2052" max="2052" width="13.625" style="111" bestFit="1" customWidth="1"/>
    <col min="2053" max="2055" width="15.375" style="111" bestFit="1" customWidth="1"/>
    <col min="2056" max="2057" width="11.125" style="111" bestFit="1" customWidth="1"/>
    <col min="2058" max="2058" width="16.5" style="111" bestFit="1" customWidth="1"/>
    <col min="2059" max="2062" width="11" style="111" bestFit="1" customWidth="1"/>
    <col min="2063" max="2304" width="9" style="111"/>
    <col min="2305" max="2305" width="10.625" style="111" customWidth="1"/>
    <col min="2306" max="2306" width="8.625" style="111" customWidth="1"/>
    <col min="2307" max="2307" width="13.625" style="111" customWidth="1"/>
    <col min="2308" max="2308" width="13.625" style="111" bestFit="1" customWidth="1"/>
    <col min="2309" max="2311" width="15.375" style="111" bestFit="1" customWidth="1"/>
    <col min="2312" max="2313" width="11.125" style="111" bestFit="1" customWidth="1"/>
    <col min="2314" max="2314" width="16.5" style="111" bestFit="1" customWidth="1"/>
    <col min="2315" max="2318" width="11" style="111" bestFit="1" customWidth="1"/>
    <col min="2319" max="2560" width="9" style="111"/>
    <col min="2561" max="2561" width="10.625" style="111" customWidth="1"/>
    <col min="2562" max="2562" width="8.625" style="111" customWidth="1"/>
    <col min="2563" max="2563" width="13.625" style="111" customWidth="1"/>
    <col min="2564" max="2564" width="13.625" style="111" bestFit="1" customWidth="1"/>
    <col min="2565" max="2567" width="15.375" style="111" bestFit="1" customWidth="1"/>
    <col min="2568" max="2569" width="11.125" style="111" bestFit="1" customWidth="1"/>
    <col min="2570" max="2570" width="16.5" style="111" bestFit="1" customWidth="1"/>
    <col min="2571" max="2574" width="11" style="111" bestFit="1" customWidth="1"/>
    <col min="2575" max="2816" width="9" style="111"/>
    <col min="2817" max="2817" width="10.625" style="111" customWidth="1"/>
    <col min="2818" max="2818" width="8.625" style="111" customWidth="1"/>
    <col min="2819" max="2819" width="13.625" style="111" customWidth="1"/>
    <col min="2820" max="2820" width="13.625" style="111" bestFit="1" customWidth="1"/>
    <col min="2821" max="2823" width="15.375" style="111" bestFit="1" customWidth="1"/>
    <col min="2824" max="2825" width="11.125" style="111" bestFit="1" customWidth="1"/>
    <col min="2826" max="2826" width="16.5" style="111" bestFit="1" customWidth="1"/>
    <col min="2827" max="2830" width="11" style="111" bestFit="1" customWidth="1"/>
    <col min="2831" max="3072" width="9" style="111"/>
    <col min="3073" max="3073" width="10.625" style="111" customWidth="1"/>
    <col min="3074" max="3074" width="8.625" style="111" customWidth="1"/>
    <col min="3075" max="3075" width="13.625" style="111" customWidth="1"/>
    <col min="3076" max="3076" width="13.625" style="111" bestFit="1" customWidth="1"/>
    <col min="3077" max="3079" width="15.375" style="111" bestFit="1" customWidth="1"/>
    <col min="3080" max="3081" width="11.125" style="111" bestFit="1" customWidth="1"/>
    <col min="3082" max="3082" width="16.5" style="111" bestFit="1" customWidth="1"/>
    <col min="3083" max="3086" width="11" style="111" bestFit="1" customWidth="1"/>
    <col min="3087" max="3328" width="9" style="111"/>
    <col min="3329" max="3329" width="10.625" style="111" customWidth="1"/>
    <col min="3330" max="3330" width="8.625" style="111" customWidth="1"/>
    <col min="3331" max="3331" width="13.625" style="111" customWidth="1"/>
    <col min="3332" max="3332" width="13.625" style="111" bestFit="1" customWidth="1"/>
    <col min="3333" max="3335" width="15.375" style="111" bestFit="1" customWidth="1"/>
    <col min="3336" max="3337" width="11.125" style="111" bestFit="1" customWidth="1"/>
    <col min="3338" max="3338" width="16.5" style="111" bestFit="1" customWidth="1"/>
    <col min="3339" max="3342" width="11" style="111" bestFit="1" customWidth="1"/>
    <col min="3343" max="3584" width="9" style="111"/>
    <col min="3585" max="3585" width="10.625" style="111" customWidth="1"/>
    <col min="3586" max="3586" width="8.625" style="111" customWidth="1"/>
    <col min="3587" max="3587" width="13.625" style="111" customWidth="1"/>
    <col min="3588" max="3588" width="13.625" style="111" bestFit="1" customWidth="1"/>
    <col min="3589" max="3591" width="15.375" style="111" bestFit="1" customWidth="1"/>
    <col min="3592" max="3593" width="11.125" style="111" bestFit="1" customWidth="1"/>
    <col min="3594" max="3594" width="16.5" style="111" bestFit="1" customWidth="1"/>
    <col min="3595" max="3598" width="11" style="111" bestFit="1" customWidth="1"/>
    <col min="3599" max="3840" width="9" style="111"/>
    <col min="3841" max="3841" width="10.625" style="111" customWidth="1"/>
    <col min="3842" max="3842" width="8.625" style="111" customWidth="1"/>
    <col min="3843" max="3843" width="13.625" style="111" customWidth="1"/>
    <col min="3844" max="3844" width="13.625" style="111" bestFit="1" customWidth="1"/>
    <col min="3845" max="3847" width="15.375" style="111" bestFit="1" customWidth="1"/>
    <col min="3848" max="3849" width="11.125" style="111" bestFit="1" customWidth="1"/>
    <col min="3850" max="3850" width="16.5" style="111" bestFit="1" customWidth="1"/>
    <col min="3851" max="3854" width="11" style="111" bestFit="1" customWidth="1"/>
    <col min="3855" max="4096" width="9" style="111"/>
    <col min="4097" max="4097" width="10.625" style="111" customWidth="1"/>
    <col min="4098" max="4098" width="8.625" style="111" customWidth="1"/>
    <col min="4099" max="4099" width="13.625" style="111" customWidth="1"/>
    <col min="4100" max="4100" width="13.625" style="111" bestFit="1" customWidth="1"/>
    <col min="4101" max="4103" width="15.375" style="111" bestFit="1" customWidth="1"/>
    <col min="4104" max="4105" width="11.125" style="111" bestFit="1" customWidth="1"/>
    <col min="4106" max="4106" width="16.5" style="111" bestFit="1" customWidth="1"/>
    <col min="4107" max="4110" width="11" style="111" bestFit="1" customWidth="1"/>
    <col min="4111" max="4352" width="9" style="111"/>
    <col min="4353" max="4353" width="10.625" style="111" customWidth="1"/>
    <col min="4354" max="4354" width="8.625" style="111" customWidth="1"/>
    <col min="4355" max="4355" width="13.625" style="111" customWidth="1"/>
    <col min="4356" max="4356" width="13.625" style="111" bestFit="1" customWidth="1"/>
    <col min="4357" max="4359" width="15.375" style="111" bestFit="1" customWidth="1"/>
    <col min="4360" max="4361" width="11.125" style="111" bestFit="1" customWidth="1"/>
    <col min="4362" max="4362" width="16.5" style="111" bestFit="1" customWidth="1"/>
    <col min="4363" max="4366" width="11" style="111" bestFit="1" customWidth="1"/>
    <col min="4367" max="4608" width="9" style="111"/>
    <col min="4609" max="4609" width="10.625" style="111" customWidth="1"/>
    <col min="4610" max="4610" width="8.625" style="111" customWidth="1"/>
    <col min="4611" max="4611" width="13.625" style="111" customWidth="1"/>
    <col min="4612" max="4612" width="13.625" style="111" bestFit="1" customWidth="1"/>
    <col min="4613" max="4615" width="15.375" style="111" bestFit="1" customWidth="1"/>
    <col min="4616" max="4617" width="11.125" style="111" bestFit="1" customWidth="1"/>
    <col min="4618" max="4618" width="16.5" style="111" bestFit="1" customWidth="1"/>
    <col min="4619" max="4622" width="11" style="111" bestFit="1" customWidth="1"/>
    <col min="4623" max="4864" width="9" style="111"/>
    <col min="4865" max="4865" width="10.625" style="111" customWidth="1"/>
    <col min="4866" max="4866" width="8.625" style="111" customWidth="1"/>
    <col min="4867" max="4867" width="13.625" style="111" customWidth="1"/>
    <col min="4868" max="4868" width="13.625" style="111" bestFit="1" customWidth="1"/>
    <col min="4869" max="4871" width="15.375" style="111" bestFit="1" customWidth="1"/>
    <col min="4872" max="4873" width="11.125" style="111" bestFit="1" customWidth="1"/>
    <col min="4874" max="4874" width="16.5" style="111" bestFit="1" customWidth="1"/>
    <col min="4875" max="4878" width="11" style="111" bestFit="1" customWidth="1"/>
    <col min="4879" max="5120" width="9" style="111"/>
    <col min="5121" max="5121" width="10.625" style="111" customWidth="1"/>
    <col min="5122" max="5122" width="8.625" style="111" customWidth="1"/>
    <col min="5123" max="5123" width="13.625" style="111" customWidth="1"/>
    <col min="5124" max="5124" width="13.625" style="111" bestFit="1" customWidth="1"/>
    <col min="5125" max="5127" width="15.375" style="111" bestFit="1" customWidth="1"/>
    <col min="5128" max="5129" width="11.125" style="111" bestFit="1" customWidth="1"/>
    <col min="5130" max="5130" width="16.5" style="111" bestFit="1" customWidth="1"/>
    <col min="5131" max="5134" width="11" style="111" bestFit="1" customWidth="1"/>
    <col min="5135" max="5376" width="9" style="111"/>
    <col min="5377" max="5377" width="10.625" style="111" customWidth="1"/>
    <col min="5378" max="5378" width="8.625" style="111" customWidth="1"/>
    <col min="5379" max="5379" width="13.625" style="111" customWidth="1"/>
    <col min="5380" max="5380" width="13.625" style="111" bestFit="1" customWidth="1"/>
    <col min="5381" max="5383" width="15.375" style="111" bestFit="1" customWidth="1"/>
    <col min="5384" max="5385" width="11.125" style="111" bestFit="1" customWidth="1"/>
    <col min="5386" max="5386" width="16.5" style="111" bestFit="1" customWidth="1"/>
    <col min="5387" max="5390" width="11" style="111" bestFit="1" customWidth="1"/>
    <col min="5391" max="5632" width="9" style="111"/>
    <col min="5633" max="5633" width="10.625" style="111" customWidth="1"/>
    <col min="5634" max="5634" width="8.625" style="111" customWidth="1"/>
    <col min="5635" max="5635" width="13.625" style="111" customWidth="1"/>
    <col min="5636" max="5636" width="13.625" style="111" bestFit="1" customWidth="1"/>
    <col min="5637" max="5639" width="15.375" style="111" bestFit="1" customWidth="1"/>
    <col min="5640" max="5641" width="11.125" style="111" bestFit="1" customWidth="1"/>
    <col min="5642" max="5642" width="16.5" style="111" bestFit="1" customWidth="1"/>
    <col min="5643" max="5646" width="11" style="111" bestFit="1" customWidth="1"/>
    <col min="5647" max="5888" width="9" style="111"/>
    <col min="5889" max="5889" width="10.625" style="111" customWidth="1"/>
    <col min="5890" max="5890" width="8.625" style="111" customWidth="1"/>
    <col min="5891" max="5891" width="13.625" style="111" customWidth="1"/>
    <col min="5892" max="5892" width="13.625" style="111" bestFit="1" customWidth="1"/>
    <col min="5893" max="5895" width="15.375" style="111" bestFit="1" customWidth="1"/>
    <col min="5896" max="5897" width="11.125" style="111" bestFit="1" customWidth="1"/>
    <col min="5898" max="5898" width="16.5" style="111" bestFit="1" customWidth="1"/>
    <col min="5899" max="5902" width="11" style="111" bestFit="1" customWidth="1"/>
    <col min="5903" max="6144" width="9" style="111"/>
    <col min="6145" max="6145" width="10.625" style="111" customWidth="1"/>
    <col min="6146" max="6146" width="8.625" style="111" customWidth="1"/>
    <col min="6147" max="6147" width="13.625" style="111" customWidth="1"/>
    <col min="6148" max="6148" width="13.625" style="111" bestFit="1" customWidth="1"/>
    <col min="6149" max="6151" width="15.375" style="111" bestFit="1" customWidth="1"/>
    <col min="6152" max="6153" width="11.125" style="111" bestFit="1" customWidth="1"/>
    <col min="6154" max="6154" width="16.5" style="111" bestFit="1" customWidth="1"/>
    <col min="6155" max="6158" width="11" style="111" bestFit="1" customWidth="1"/>
    <col min="6159" max="6400" width="9" style="111"/>
    <col min="6401" max="6401" width="10.625" style="111" customWidth="1"/>
    <col min="6402" max="6402" width="8.625" style="111" customWidth="1"/>
    <col min="6403" max="6403" width="13.625" style="111" customWidth="1"/>
    <col min="6404" max="6404" width="13.625" style="111" bestFit="1" customWidth="1"/>
    <col min="6405" max="6407" width="15.375" style="111" bestFit="1" customWidth="1"/>
    <col min="6408" max="6409" width="11.125" style="111" bestFit="1" customWidth="1"/>
    <col min="6410" max="6410" width="16.5" style="111" bestFit="1" customWidth="1"/>
    <col min="6411" max="6414" width="11" style="111" bestFit="1" customWidth="1"/>
    <col min="6415" max="6656" width="9" style="111"/>
    <col min="6657" max="6657" width="10.625" style="111" customWidth="1"/>
    <col min="6658" max="6658" width="8.625" style="111" customWidth="1"/>
    <col min="6659" max="6659" width="13.625" style="111" customWidth="1"/>
    <col min="6660" max="6660" width="13.625" style="111" bestFit="1" customWidth="1"/>
    <col min="6661" max="6663" width="15.375" style="111" bestFit="1" customWidth="1"/>
    <col min="6664" max="6665" width="11.125" style="111" bestFit="1" customWidth="1"/>
    <col min="6666" max="6666" width="16.5" style="111" bestFit="1" customWidth="1"/>
    <col min="6667" max="6670" width="11" style="111" bestFit="1" customWidth="1"/>
    <col min="6671" max="6912" width="9" style="111"/>
    <col min="6913" max="6913" width="10.625" style="111" customWidth="1"/>
    <col min="6914" max="6914" width="8.625" style="111" customWidth="1"/>
    <col min="6915" max="6915" width="13.625" style="111" customWidth="1"/>
    <col min="6916" max="6916" width="13.625" style="111" bestFit="1" customWidth="1"/>
    <col min="6917" max="6919" width="15.375" style="111" bestFit="1" customWidth="1"/>
    <col min="6920" max="6921" width="11.125" style="111" bestFit="1" customWidth="1"/>
    <col min="6922" max="6922" width="16.5" style="111" bestFit="1" customWidth="1"/>
    <col min="6923" max="6926" width="11" style="111" bestFit="1" customWidth="1"/>
    <col min="6927" max="7168" width="9" style="111"/>
    <col min="7169" max="7169" width="10.625" style="111" customWidth="1"/>
    <col min="7170" max="7170" width="8.625" style="111" customWidth="1"/>
    <col min="7171" max="7171" width="13.625" style="111" customWidth="1"/>
    <col min="7172" max="7172" width="13.625" style="111" bestFit="1" customWidth="1"/>
    <col min="7173" max="7175" width="15.375" style="111" bestFit="1" customWidth="1"/>
    <col min="7176" max="7177" width="11.125" style="111" bestFit="1" customWidth="1"/>
    <col min="7178" max="7178" width="16.5" style="111" bestFit="1" customWidth="1"/>
    <col min="7179" max="7182" width="11" style="111" bestFit="1" customWidth="1"/>
    <col min="7183" max="7424" width="9" style="111"/>
    <col min="7425" max="7425" width="10.625" style="111" customWidth="1"/>
    <col min="7426" max="7426" width="8.625" style="111" customWidth="1"/>
    <col min="7427" max="7427" width="13.625" style="111" customWidth="1"/>
    <col min="7428" max="7428" width="13.625" style="111" bestFit="1" customWidth="1"/>
    <col min="7429" max="7431" width="15.375" style="111" bestFit="1" customWidth="1"/>
    <col min="7432" max="7433" width="11.125" style="111" bestFit="1" customWidth="1"/>
    <col min="7434" max="7434" width="16.5" style="111" bestFit="1" customWidth="1"/>
    <col min="7435" max="7438" width="11" style="111" bestFit="1" customWidth="1"/>
    <col min="7439" max="7680" width="9" style="111"/>
    <col min="7681" max="7681" width="10.625" style="111" customWidth="1"/>
    <col min="7682" max="7682" width="8.625" style="111" customWidth="1"/>
    <col min="7683" max="7683" width="13.625" style="111" customWidth="1"/>
    <col min="7684" max="7684" width="13.625" style="111" bestFit="1" customWidth="1"/>
    <col min="7685" max="7687" width="15.375" style="111" bestFit="1" customWidth="1"/>
    <col min="7688" max="7689" width="11.125" style="111" bestFit="1" customWidth="1"/>
    <col min="7690" max="7690" width="16.5" style="111" bestFit="1" customWidth="1"/>
    <col min="7691" max="7694" width="11" style="111" bestFit="1" customWidth="1"/>
    <col min="7695" max="7936" width="9" style="111"/>
    <col min="7937" max="7937" width="10.625" style="111" customWidth="1"/>
    <col min="7938" max="7938" width="8.625" style="111" customWidth="1"/>
    <col min="7939" max="7939" width="13.625" style="111" customWidth="1"/>
    <col min="7940" max="7940" width="13.625" style="111" bestFit="1" customWidth="1"/>
    <col min="7941" max="7943" width="15.375" style="111" bestFit="1" customWidth="1"/>
    <col min="7944" max="7945" width="11.125" style="111" bestFit="1" customWidth="1"/>
    <col min="7946" max="7946" width="16.5" style="111" bestFit="1" customWidth="1"/>
    <col min="7947" max="7950" width="11" style="111" bestFit="1" customWidth="1"/>
    <col min="7951" max="8192" width="9" style="111"/>
    <col min="8193" max="8193" width="10.625" style="111" customWidth="1"/>
    <col min="8194" max="8194" width="8.625" style="111" customWidth="1"/>
    <col min="8195" max="8195" width="13.625" style="111" customWidth="1"/>
    <col min="8196" max="8196" width="13.625" style="111" bestFit="1" customWidth="1"/>
    <col min="8197" max="8199" width="15.375" style="111" bestFit="1" customWidth="1"/>
    <col min="8200" max="8201" width="11.125" style="111" bestFit="1" customWidth="1"/>
    <col min="8202" max="8202" width="16.5" style="111" bestFit="1" customWidth="1"/>
    <col min="8203" max="8206" width="11" style="111" bestFit="1" customWidth="1"/>
    <col min="8207" max="8448" width="9" style="111"/>
    <col min="8449" max="8449" width="10.625" style="111" customWidth="1"/>
    <col min="8450" max="8450" width="8.625" style="111" customWidth="1"/>
    <col min="8451" max="8451" width="13.625" style="111" customWidth="1"/>
    <col min="8452" max="8452" width="13.625" style="111" bestFit="1" customWidth="1"/>
    <col min="8453" max="8455" width="15.375" style="111" bestFit="1" customWidth="1"/>
    <col min="8456" max="8457" width="11.125" style="111" bestFit="1" customWidth="1"/>
    <col min="8458" max="8458" width="16.5" style="111" bestFit="1" customWidth="1"/>
    <col min="8459" max="8462" width="11" style="111" bestFit="1" customWidth="1"/>
    <col min="8463" max="8704" width="9" style="111"/>
    <col min="8705" max="8705" width="10.625" style="111" customWidth="1"/>
    <col min="8706" max="8706" width="8.625" style="111" customWidth="1"/>
    <col min="8707" max="8707" width="13.625" style="111" customWidth="1"/>
    <col min="8708" max="8708" width="13.625" style="111" bestFit="1" customWidth="1"/>
    <col min="8709" max="8711" width="15.375" style="111" bestFit="1" customWidth="1"/>
    <col min="8712" max="8713" width="11.125" style="111" bestFit="1" customWidth="1"/>
    <col min="8714" max="8714" width="16.5" style="111" bestFit="1" customWidth="1"/>
    <col min="8715" max="8718" width="11" style="111" bestFit="1" customWidth="1"/>
    <col min="8719" max="8960" width="9" style="111"/>
    <col min="8961" max="8961" width="10.625" style="111" customWidth="1"/>
    <col min="8962" max="8962" width="8.625" style="111" customWidth="1"/>
    <col min="8963" max="8963" width="13.625" style="111" customWidth="1"/>
    <col min="8964" max="8964" width="13.625" style="111" bestFit="1" customWidth="1"/>
    <col min="8965" max="8967" width="15.375" style="111" bestFit="1" customWidth="1"/>
    <col min="8968" max="8969" width="11.125" style="111" bestFit="1" customWidth="1"/>
    <col min="8970" max="8970" width="16.5" style="111" bestFit="1" customWidth="1"/>
    <col min="8971" max="8974" width="11" style="111" bestFit="1" customWidth="1"/>
    <col min="8975" max="9216" width="9" style="111"/>
    <col min="9217" max="9217" width="10.625" style="111" customWidth="1"/>
    <col min="9218" max="9218" width="8.625" style="111" customWidth="1"/>
    <col min="9219" max="9219" width="13.625" style="111" customWidth="1"/>
    <col min="9220" max="9220" width="13.625" style="111" bestFit="1" customWidth="1"/>
    <col min="9221" max="9223" width="15.375" style="111" bestFit="1" customWidth="1"/>
    <col min="9224" max="9225" width="11.125" style="111" bestFit="1" customWidth="1"/>
    <col min="9226" max="9226" width="16.5" style="111" bestFit="1" customWidth="1"/>
    <col min="9227" max="9230" width="11" style="111" bestFit="1" customWidth="1"/>
    <col min="9231" max="9472" width="9" style="111"/>
    <col min="9473" max="9473" width="10.625" style="111" customWidth="1"/>
    <col min="9474" max="9474" width="8.625" style="111" customWidth="1"/>
    <col min="9475" max="9475" width="13.625" style="111" customWidth="1"/>
    <col min="9476" max="9476" width="13.625" style="111" bestFit="1" customWidth="1"/>
    <col min="9477" max="9479" width="15.375" style="111" bestFit="1" customWidth="1"/>
    <col min="9480" max="9481" width="11.125" style="111" bestFit="1" customWidth="1"/>
    <col min="9482" max="9482" width="16.5" style="111" bestFit="1" customWidth="1"/>
    <col min="9483" max="9486" width="11" style="111" bestFit="1" customWidth="1"/>
    <col min="9487" max="9728" width="9" style="111"/>
    <col min="9729" max="9729" width="10.625" style="111" customWidth="1"/>
    <col min="9730" max="9730" width="8.625" style="111" customWidth="1"/>
    <col min="9731" max="9731" width="13.625" style="111" customWidth="1"/>
    <col min="9732" max="9732" width="13.625" style="111" bestFit="1" customWidth="1"/>
    <col min="9733" max="9735" width="15.375" style="111" bestFit="1" customWidth="1"/>
    <col min="9736" max="9737" width="11.125" style="111" bestFit="1" customWidth="1"/>
    <col min="9738" max="9738" width="16.5" style="111" bestFit="1" customWidth="1"/>
    <col min="9739" max="9742" width="11" style="111" bestFit="1" customWidth="1"/>
    <col min="9743" max="9984" width="9" style="111"/>
    <col min="9985" max="9985" width="10.625" style="111" customWidth="1"/>
    <col min="9986" max="9986" width="8.625" style="111" customWidth="1"/>
    <col min="9987" max="9987" width="13.625" style="111" customWidth="1"/>
    <col min="9988" max="9988" width="13.625" style="111" bestFit="1" customWidth="1"/>
    <col min="9989" max="9991" width="15.375" style="111" bestFit="1" customWidth="1"/>
    <col min="9992" max="9993" width="11.125" style="111" bestFit="1" customWidth="1"/>
    <col min="9994" max="9994" width="16.5" style="111" bestFit="1" customWidth="1"/>
    <col min="9995" max="9998" width="11" style="111" bestFit="1" customWidth="1"/>
    <col min="9999" max="10240" width="9" style="111"/>
    <col min="10241" max="10241" width="10.625" style="111" customWidth="1"/>
    <col min="10242" max="10242" width="8.625" style="111" customWidth="1"/>
    <col min="10243" max="10243" width="13.625" style="111" customWidth="1"/>
    <col min="10244" max="10244" width="13.625" style="111" bestFit="1" customWidth="1"/>
    <col min="10245" max="10247" width="15.375" style="111" bestFit="1" customWidth="1"/>
    <col min="10248" max="10249" width="11.125" style="111" bestFit="1" customWidth="1"/>
    <col min="10250" max="10250" width="16.5" style="111" bestFit="1" customWidth="1"/>
    <col min="10251" max="10254" width="11" style="111" bestFit="1" customWidth="1"/>
    <col min="10255" max="10496" width="9" style="111"/>
    <col min="10497" max="10497" width="10.625" style="111" customWidth="1"/>
    <col min="10498" max="10498" width="8.625" style="111" customWidth="1"/>
    <col min="10499" max="10499" width="13.625" style="111" customWidth="1"/>
    <col min="10500" max="10500" width="13.625" style="111" bestFit="1" customWidth="1"/>
    <col min="10501" max="10503" width="15.375" style="111" bestFit="1" customWidth="1"/>
    <col min="10504" max="10505" width="11.125" style="111" bestFit="1" customWidth="1"/>
    <col min="10506" max="10506" width="16.5" style="111" bestFit="1" customWidth="1"/>
    <col min="10507" max="10510" width="11" style="111" bestFit="1" customWidth="1"/>
    <col min="10511" max="10752" width="9" style="111"/>
    <col min="10753" max="10753" width="10.625" style="111" customWidth="1"/>
    <col min="10754" max="10754" width="8.625" style="111" customWidth="1"/>
    <col min="10755" max="10755" width="13.625" style="111" customWidth="1"/>
    <col min="10756" max="10756" width="13.625" style="111" bestFit="1" customWidth="1"/>
    <col min="10757" max="10759" width="15.375" style="111" bestFit="1" customWidth="1"/>
    <col min="10760" max="10761" width="11.125" style="111" bestFit="1" customWidth="1"/>
    <col min="10762" max="10762" width="16.5" style="111" bestFit="1" customWidth="1"/>
    <col min="10763" max="10766" width="11" style="111" bestFit="1" customWidth="1"/>
    <col min="10767" max="11008" width="9" style="111"/>
    <col min="11009" max="11009" width="10.625" style="111" customWidth="1"/>
    <col min="11010" max="11010" width="8.625" style="111" customWidth="1"/>
    <col min="11011" max="11011" width="13.625" style="111" customWidth="1"/>
    <col min="11012" max="11012" width="13.625" style="111" bestFit="1" customWidth="1"/>
    <col min="11013" max="11015" width="15.375" style="111" bestFit="1" customWidth="1"/>
    <col min="11016" max="11017" width="11.125" style="111" bestFit="1" customWidth="1"/>
    <col min="11018" max="11018" width="16.5" style="111" bestFit="1" customWidth="1"/>
    <col min="11019" max="11022" width="11" style="111" bestFit="1" customWidth="1"/>
    <col min="11023" max="11264" width="9" style="111"/>
    <col min="11265" max="11265" width="10.625" style="111" customWidth="1"/>
    <col min="11266" max="11266" width="8.625" style="111" customWidth="1"/>
    <col min="11267" max="11267" width="13.625" style="111" customWidth="1"/>
    <col min="11268" max="11268" width="13.625" style="111" bestFit="1" customWidth="1"/>
    <col min="11269" max="11271" width="15.375" style="111" bestFit="1" customWidth="1"/>
    <col min="11272" max="11273" width="11.125" style="111" bestFit="1" customWidth="1"/>
    <col min="11274" max="11274" width="16.5" style="111" bestFit="1" customWidth="1"/>
    <col min="11275" max="11278" width="11" style="111" bestFit="1" customWidth="1"/>
    <col min="11279" max="11520" width="9" style="111"/>
    <col min="11521" max="11521" width="10.625" style="111" customWidth="1"/>
    <col min="11522" max="11522" width="8.625" style="111" customWidth="1"/>
    <col min="11523" max="11523" width="13.625" style="111" customWidth="1"/>
    <col min="11524" max="11524" width="13.625" style="111" bestFit="1" customWidth="1"/>
    <col min="11525" max="11527" width="15.375" style="111" bestFit="1" customWidth="1"/>
    <col min="11528" max="11529" width="11.125" style="111" bestFit="1" customWidth="1"/>
    <col min="11530" max="11530" width="16.5" style="111" bestFit="1" customWidth="1"/>
    <col min="11531" max="11534" width="11" style="111" bestFit="1" customWidth="1"/>
    <col min="11535" max="11776" width="9" style="111"/>
    <col min="11777" max="11777" width="10.625" style="111" customWidth="1"/>
    <col min="11778" max="11778" width="8.625" style="111" customWidth="1"/>
    <col min="11779" max="11779" width="13.625" style="111" customWidth="1"/>
    <col min="11780" max="11780" width="13.625" style="111" bestFit="1" customWidth="1"/>
    <col min="11781" max="11783" width="15.375" style="111" bestFit="1" customWidth="1"/>
    <col min="11784" max="11785" width="11.125" style="111" bestFit="1" customWidth="1"/>
    <col min="11786" max="11786" width="16.5" style="111" bestFit="1" customWidth="1"/>
    <col min="11787" max="11790" width="11" style="111" bestFit="1" customWidth="1"/>
    <col min="11791" max="12032" width="9" style="111"/>
    <col min="12033" max="12033" width="10.625" style="111" customWidth="1"/>
    <col min="12034" max="12034" width="8.625" style="111" customWidth="1"/>
    <col min="12035" max="12035" width="13.625" style="111" customWidth="1"/>
    <col min="12036" max="12036" width="13.625" style="111" bestFit="1" customWidth="1"/>
    <col min="12037" max="12039" width="15.375" style="111" bestFit="1" customWidth="1"/>
    <col min="12040" max="12041" width="11.125" style="111" bestFit="1" customWidth="1"/>
    <col min="12042" max="12042" width="16.5" style="111" bestFit="1" customWidth="1"/>
    <col min="12043" max="12046" width="11" style="111" bestFit="1" customWidth="1"/>
    <col min="12047" max="12288" width="9" style="111"/>
    <col min="12289" max="12289" width="10.625" style="111" customWidth="1"/>
    <col min="12290" max="12290" width="8.625" style="111" customWidth="1"/>
    <col min="12291" max="12291" width="13.625" style="111" customWidth="1"/>
    <col min="12292" max="12292" width="13.625" style="111" bestFit="1" customWidth="1"/>
    <col min="12293" max="12295" width="15.375" style="111" bestFit="1" customWidth="1"/>
    <col min="12296" max="12297" width="11.125" style="111" bestFit="1" customWidth="1"/>
    <col min="12298" max="12298" width="16.5" style="111" bestFit="1" customWidth="1"/>
    <col min="12299" max="12302" width="11" style="111" bestFit="1" customWidth="1"/>
    <col min="12303" max="12544" width="9" style="111"/>
    <col min="12545" max="12545" width="10.625" style="111" customWidth="1"/>
    <col min="12546" max="12546" width="8.625" style="111" customWidth="1"/>
    <col min="12547" max="12547" width="13.625" style="111" customWidth="1"/>
    <col min="12548" max="12548" width="13.625" style="111" bestFit="1" customWidth="1"/>
    <col min="12549" max="12551" width="15.375" style="111" bestFit="1" customWidth="1"/>
    <col min="12552" max="12553" width="11.125" style="111" bestFit="1" customWidth="1"/>
    <col min="12554" max="12554" width="16.5" style="111" bestFit="1" customWidth="1"/>
    <col min="12555" max="12558" width="11" style="111" bestFit="1" customWidth="1"/>
    <col min="12559" max="12800" width="9" style="111"/>
    <col min="12801" max="12801" width="10.625" style="111" customWidth="1"/>
    <col min="12802" max="12802" width="8.625" style="111" customWidth="1"/>
    <col min="12803" max="12803" width="13.625" style="111" customWidth="1"/>
    <col min="12804" max="12804" width="13.625" style="111" bestFit="1" customWidth="1"/>
    <col min="12805" max="12807" width="15.375" style="111" bestFit="1" customWidth="1"/>
    <col min="12808" max="12809" width="11.125" style="111" bestFit="1" customWidth="1"/>
    <col min="12810" max="12810" width="16.5" style="111" bestFit="1" customWidth="1"/>
    <col min="12811" max="12814" width="11" style="111" bestFit="1" customWidth="1"/>
    <col min="12815" max="13056" width="9" style="111"/>
    <col min="13057" max="13057" width="10.625" style="111" customWidth="1"/>
    <col min="13058" max="13058" width="8.625" style="111" customWidth="1"/>
    <col min="13059" max="13059" width="13.625" style="111" customWidth="1"/>
    <col min="13060" max="13060" width="13.625" style="111" bestFit="1" customWidth="1"/>
    <col min="13061" max="13063" width="15.375" style="111" bestFit="1" customWidth="1"/>
    <col min="13064" max="13065" width="11.125" style="111" bestFit="1" customWidth="1"/>
    <col min="13066" max="13066" width="16.5" style="111" bestFit="1" customWidth="1"/>
    <col min="13067" max="13070" width="11" style="111" bestFit="1" customWidth="1"/>
    <col min="13071" max="13312" width="9" style="111"/>
    <col min="13313" max="13313" width="10.625" style="111" customWidth="1"/>
    <col min="13314" max="13314" width="8.625" style="111" customWidth="1"/>
    <col min="13315" max="13315" width="13.625" style="111" customWidth="1"/>
    <col min="13316" max="13316" width="13.625" style="111" bestFit="1" customWidth="1"/>
    <col min="13317" max="13319" width="15.375" style="111" bestFit="1" customWidth="1"/>
    <col min="13320" max="13321" width="11.125" style="111" bestFit="1" customWidth="1"/>
    <col min="13322" max="13322" width="16.5" style="111" bestFit="1" customWidth="1"/>
    <col min="13323" max="13326" width="11" style="111" bestFit="1" customWidth="1"/>
    <col min="13327" max="13568" width="9" style="111"/>
    <col min="13569" max="13569" width="10.625" style="111" customWidth="1"/>
    <col min="13570" max="13570" width="8.625" style="111" customWidth="1"/>
    <col min="13571" max="13571" width="13.625" style="111" customWidth="1"/>
    <col min="13572" max="13572" width="13.625" style="111" bestFit="1" customWidth="1"/>
    <col min="13573" max="13575" width="15.375" style="111" bestFit="1" customWidth="1"/>
    <col min="13576" max="13577" width="11.125" style="111" bestFit="1" customWidth="1"/>
    <col min="13578" max="13578" width="16.5" style="111" bestFit="1" customWidth="1"/>
    <col min="13579" max="13582" width="11" style="111" bestFit="1" customWidth="1"/>
    <col min="13583" max="13824" width="9" style="111"/>
    <col min="13825" max="13825" width="10.625" style="111" customWidth="1"/>
    <col min="13826" max="13826" width="8.625" style="111" customWidth="1"/>
    <col min="13827" max="13827" width="13.625" style="111" customWidth="1"/>
    <col min="13828" max="13828" width="13.625" style="111" bestFit="1" customWidth="1"/>
    <col min="13829" max="13831" width="15.375" style="111" bestFit="1" customWidth="1"/>
    <col min="13832" max="13833" width="11.125" style="111" bestFit="1" customWidth="1"/>
    <col min="13834" max="13834" width="16.5" style="111" bestFit="1" customWidth="1"/>
    <col min="13835" max="13838" width="11" style="111" bestFit="1" customWidth="1"/>
    <col min="13839" max="14080" width="9" style="111"/>
    <col min="14081" max="14081" width="10.625" style="111" customWidth="1"/>
    <col min="14082" max="14082" width="8.625" style="111" customWidth="1"/>
    <col min="14083" max="14083" width="13.625" style="111" customWidth="1"/>
    <col min="14084" max="14084" width="13.625" style="111" bestFit="1" customWidth="1"/>
    <col min="14085" max="14087" width="15.375" style="111" bestFit="1" customWidth="1"/>
    <col min="14088" max="14089" width="11.125" style="111" bestFit="1" customWidth="1"/>
    <col min="14090" max="14090" width="16.5" style="111" bestFit="1" customWidth="1"/>
    <col min="14091" max="14094" width="11" style="111" bestFit="1" customWidth="1"/>
    <col min="14095" max="14336" width="9" style="111"/>
    <col min="14337" max="14337" width="10.625" style="111" customWidth="1"/>
    <col min="14338" max="14338" width="8.625" style="111" customWidth="1"/>
    <col min="14339" max="14339" width="13.625" style="111" customWidth="1"/>
    <col min="14340" max="14340" width="13.625" style="111" bestFit="1" customWidth="1"/>
    <col min="14341" max="14343" width="15.375" style="111" bestFit="1" customWidth="1"/>
    <col min="14344" max="14345" width="11.125" style="111" bestFit="1" customWidth="1"/>
    <col min="14346" max="14346" width="16.5" style="111" bestFit="1" customWidth="1"/>
    <col min="14347" max="14350" width="11" style="111" bestFit="1" customWidth="1"/>
    <col min="14351" max="14592" width="9" style="111"/>
    <col min="14593" max="14593" width="10.625" style="111" customWidth="1"/>
    <col min="14594" max="14594" width="8.625" style="111" customWidth="1"/>
    <col min="14595" max="14595" width="13.625" style="111" customWidth="1"/>
    <col min="14596" max="14596" width="13.625" style="111" bestFit="1" customWidth="1"/>
    <col min="14597" max="14599" width="15.375" style="111" bestFit="1" customWidth="1"/>
    <col min="14600" max="14601" width="11.125" style="111" bestFit="1" customWidth="1"/>
    <col min="14602" max="14602" width="16.5" style="111" bestFit="1" customWidth="1"/>
    <col min="14603" max="14606" width="11" style="111" bestFit="1" customWidth="1"/>
    <col min="14607" max="14848" width="9" style="111"/>
    <col min="14849" max="14849" width="10.625" style="111" customWidth="1"/>
    <col min="14850" max="14850" width="8.625" style="111" customWidth="1"/>
    <col min="14851" max="14851" width="13.625" style="111" customWidth="1"/>
    <col min="14852" max="14852" width="13.625" style="111" bestFit="1" customWidth="1"/>
    <col min="14853" max="14855" width="15.375" style="111" bestFit="1" customWidth="1"/>
    <col min="14856" max="14857" width="11.125" style="111" bestFit="1" customWidth="1"/>
    <col min="14858" max="14858" width="16.5" style="111" bestFit="1" customWidth="1"/>
    <col min="14859" max="14862" width="11" style="111" bestFit="1" customWidth="1"/>
    <col min="14863" max="15104" width="9" style="111"/>
    <col min="15105" max="15105" width="10.625" style="111" customWidth="1"/>
    <col min="15106" max="15106" width="8.625" style="111" customWidth="1"/>
    <col min="15107" max="15107" width="13.625" style="111" customWidth="1"/>
    <col min="15108" max="15108" width="13.625" style="111" bestFit="1" customWidth="1"/>
    <col min="15109" max="15111" width="15.375" style="111" bestFit="1" customWidth="1"/>
    <col min="15112" max="15113" width="11.125" style="111" bestFit="1" customWidth="1"/>
    <col min="15114" max="15114" width="16.5" style="111" bestFit="1" customWidth="1"/>
    <col min="15115" max="15118" width="11" style="111" bestFit="1" customWidth="1"/>
    <col min="15119" max="15360" width="9" style="111"/>
    <col min="15361" max="15361" width="10.625" style="111" customWidth="1"/>
    <col min="15362" max="15362" width="8.625" style="111" customWidth="1"/>
    <col min="15363" max="15363" width="13.625" style="111" customWidth="1"/>
    <col min="15364" max="15364" width="13.625" style="111" bestFit="1" customWidth="1"/>
    <col min="15365" max="15367" width="15.375" style="111" bestFit="1" customWidth="1"/>
    <col min="15368" max="15369" width="11.125" style="111" bestFit="1" customWidth="1"/>
    <col min="15370" max="15370" width="16.5" style="111" bestFit="1" customWidth="1"/>
    <col min="15371" max="15374" width="11" style="111" bestFit="1" customWidth="1"/>
    <col min="15375" max="15616" width="9" style="111"/>
    <col min="15617" max="15617" width="10.625" style="111" customWidth="1"/>
    <col min="15618" max="15618" width="8.625" style="111" customWidth="1"/>
    <col min="15619" max="15619" width="13.625" style="111" customWidth="1"/>
    <col min="15620" max="15620" width="13.625" style="111" bestFit="1" customWidth="1"/>
    <col min="15621" max="15623" width="15.375" style="111" bestFit="1" customWidth="1"/>
    <col min="15624" max="15625" width="11.125" style="111" bestFit="1" customWidth="1"/>
    <col min="15626" max="15626" width="16.5" style="111" bestFit="1" customWidth="1"/>
    <col min="15627" max="15630" width="11" style="111" bestFit="1" customWidth="1"/>
    <col min="15631" max="15872" width="9" style="111"/>
    <col min="15873" max="15873" width="10.625" style="111" customWidth="1"/>
    <col min="15874" max="15874" width="8.625" style="111" customWidth="1"/>
    <col min="15875" max="15875" width="13.625" style="111" customWidth="1"/>
    <col min="15876" max="15876" width="13.625" style="111" bestFit="1" customWidth="1"/>
    <col min="15877" max="15879" width="15.375" style="111" bestFit="1" customWidth="1"/>
    <col min="15880" max="15881" width="11.125" style="111" bestFit="1" customWidth="1"/>
    <col min="15882" max="15882" width="16.5" style="111" bestFit="1" customWidth="1"/>
    <col min="15883" max="15886" width="11" style="111" bestFit="1" customWidth="1"/>
    <col min="15887" max="16128" width="9" style="111"/>
    <col min="16129" max="16129" width="10.625" style="111" customWidth="1"/>
    <col min="16130" max="16130" width="8.625" style="111" customWidth="1"/>
    <col min="16131" max="16131" width="13.625" style="111" customWidth="1"/>
    <col min="16132" max="16132" width="13.625" style="111" bestFit="1" customWidth="1"/>
    <col min="16133" max="16135" width="15.375" style="111" bestFit="1" customWidth="1"/>
    <col min="16136" max="16137" width="11.125" style="111" bestFit="1" customWidth="1"/>
    <col min="16138" max="16138" width="16.5" style="111" bestFit="1" customWidth="1"/>
    <col min="16139" max="16142" width="11" style="111" bestFit="1" customWidth="1"/>
    <col min="16143" max="16384" width="9" style="111"/>
  </cols>
  <sheetData>
    <row r="1" spans="1:14" ht="27" customHeight="1" x14ac:dyDescent="0.2">
      <c r="A1" s="109" t="s">
        <v>60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27" customHeight="1" thickBot="1" x14ac:dyDescent="0.2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2" t="s">
        <v>61</v>
      </c>
    </row>
    <row r="3" spans="1:14" ht="23.1" customHeight="1" x14ac:dyDescent="0.15">
      <c r="A3" s="727" t="s">
        <v>62</v>
      </c>
      <c r="B3" s="729" t="s">
        <v>63</v>
      </c>
      <c r="C3" s="732" t="s">
        <v>64</v>
      </c>
      <c r="D3" s="733"/>
      <c r="E3" s="733" t="s">
        <v>65</v>
      </c>
      <c r="F3" s="733"/>
      <c r="G3" s="733" t="s">
        <v>66</v>
      </c>
      <c r="H3" s="733" t="s">
        <v>67</v>
      </c>
      <c r="I3" s="733"/>
      <c r="J3" s="113" t="s">
        <v>68</v>
      </c>
      <c r="K3" s="733" t="s">
        <v>69</v>
      </c>
      <c r="L3" s="733"/>
      <c r="M3" s="733"/>
      <c r="N3" s="735"/>
    </row>
    <row r="4" spans="1:14" ht="23.1" customHeight="1" x14ac:dyDescent="0.15">
      <c r="A4" s="728"/>
      <c r="B4" s="730"/>
      <c r="C4" s="736" t="s">
        <v>70</v>
      </c>
      <c r="D4" s="736" t="s">
        <v>71</v>
      </c>
      <c r="E4" s="736" t="s">
        <v>72</v>
      </c>
      <c r="F4" s="736" t="s">
        <v>71</v>
      </c>
      <c r="G4" s="734"/>
      <c r="H4" s="736" t="s">
        <v>73</v>
      </c>
      <c r="I4" s="736" t="s">
        <v>71</v>
      </c>
      <c r="J4" s="736" t="s">
        <v>74</v>
      </c>
      <c r="K4" s="114" t="s">
        <v>75</v>
      </c>
      <c r="L4" s="114" t="s">
        <v>76</v>
      </c>
      <c r="M4" s="736" t="s">
        <v>77</v>
      </c>
      <c r="N4" s="115" t="s">
        <v>78</v>
      </c>
    </row>
    <row r="5" spans="1:14" ht="22.5" customHeight="1" x14ac:dyDescent="0.15">
      <c r="A5" s="728"/>
      <c r="B5" s="731"/>
      <c r="C5" s="737"/>
      <c r="D5" s="737"/>
      <c r="E5" s="737"/>
      <c r="F5" s="737"/>
      <c r="G5" s="116" t="s">
        <v>79</v>
      </c>
      <c r="H5" s="737"/>
      <c r="I5" s="737"/>
      <c r="J5" s="738"/>
      <c r="K5" s="116" t="s">
        <v>80</v>
      </c>
      <c r="L5" s="116" t="s">
        <v>80</v>
      </c>
      <c r="M5" s="737"/>
      <c r="N5" s="117" t="s">
        <v>80</v>
      </c>
    </row>
    <row r="6" spans="1:14" ht="24.95" hidden="1" customHeight="1" x14ac:dyDescent="0.15">
      <c r="A6" s="728" t="s">
        <v>81</v>
      </c>
      <c r="B6" s="114" t="s">
        <v>82</v>
      </c>
      <c r="C6" s="118">
        <v>41916611</v>
      </c>
      <c r="D6" s="119">
        <v>41778994</v>
      </c>
      <c r="E6" s="119">
        <v>3637693053</v>
      </c>
      <c r="F6" s="119">
        <v>3634919494</v>
      </c>
      <c r="G6" s="119">
        <v>1046895162</v>
      </c>
      <c r="H6" s="119">
        <v>267990</v>
      </c>
      <c r="I6" s="119">
        <v>264867</v>
      </c>
      <c r="J6" s="119">
        <f t="shared" ref="J6:J19" si="0">ROUND((E6*1000)/C6,0)</f>
        <v>86784</v>
      </c>
      <c r="K6" s="120">
        <v>101</v>
      </c>
      <c r="L6" s="120">
        <v>93.6</v>
      </c>
      <c r="M6" s="120">
        <v>99.8</v>
      </c>
      <c r="N6" s="121">
        <v>101.1</v>
      </c>
    </row>
    <row r="7" spans="1:14" ht="24.95" hidden="1" customHeight="1" x14ac:dyDescent="0.15">
      <c r="A7" s="728"/>
      <c r="B7" s="122" t="s">
        <v>83</v>
      </c>
      <c r="C7" s="123">
        <v>78126226</v>
      </c>
      <c r="D7" s="124">
        <v>71809883</v>
      </c>
      <c r="E7" s="124">
        <v>1137318297</v>
      </c>
      <c r="F7" s="124">
        <v>1126737593</v>
      </c>
      <c r="G7" s="124">
        <v>61086630</v>
      </c>
      <c r="H7" s="124">
        <v>96870</v>
      </c>
      <c r="I7" s="124">
        <v>89622</v>
      </c>
      <c r="J7" s="124">
        <f t="shared" si="0"/>
        <v>14557</v>
      </c>
      <c r="K7" s="125">
        <v>99.3</v>
      </c>
      <c r="L7" s="125">
        <v>92.3</v>
      </c>
      <c r="M7" s="125">
        <v>101.1</v>
      </c>
      <c r="N7" s="126">
        <v>98.8</v>
      </c>
    </row>
    <row r="8" spans="1:14" ht="24.95" hidden="1" customHeight="1" x14ac:dyDescent="0.15">
      <c r="A8" s="728"/>
      <c r="B8" s="127" t="s">
        <v>29</v>
      </c>
      <c r="C8" s="128">
        <f>C6+C7</f>
        <v>120042837</v>
      </c>
      <c r="D8" s="129">
        <f t="shared" ref="D8:I8" si="1">D6+D7</f>
        <v>113588877</v>
      </c>
      <c r="E8" s="129">
        <f t="shared" si="1"/>
        <v>4775011350</v>
      </c>
      <c r="F8" s="129">
        <f t="shared" si="1"/>
        <v>4761657087</v>
      </c>
      <c r="G8" s="129">
        <f t="shared" si="1"/>
        <v>1107981792</v>
      </c>
      <c r="H8" s="129">
        <f t="shared" si="1"/>
        <v>364860</v>
      </c>
      <c r="I8" s="129">
        <f t="shared" si="1"/>
        <v>354489</v>
      </c>
      <c r="J8" s="129">
        <f t="shared" si="0"/>
        <v>39778</v>
      </c>
      <c r="K8" s="130">
        <v>99.9</v>
      </c>
      <c r="L8" s="130">
        <v>93.3</v>
      </c>
      <c r="M8" s="130">
        <v>99.9</v>
      </c>
      <c r="N8" s="131">
        <v>100.5</v>
      </c>
    </row>
    <row r="9" spans="1:14" ht="30" hidden="1" customHeight="1" x14ac:dyDescent="0.15">
      <c r="A9" s="728" t="s">
        <v>84</v>
      </c>
      <c r="B9" s="114" t="s">
        <v>82</v>
      </c>
      <c r="C9" s="123">
        <v>42219974</v>
      </c>
      <c r="D9" s="124">
        <v>42082025</v>
      </c>
      <c r="E9" s="124">
        <v>3323503205</v>
      </c>
      <c r="F9" s="124">
        <v>3321057537</v>
      </c>
      <c r="G9" s="119">
        <v>1024764583</v>
      </c>
      <c r="H9" s="124">
        <v>269655</v>
      </c>
      <c r="I9" s="124">
        <v>266465</v>
      </c>
      <c r="J9" s="124">
        <f t="shared" si="0"/>
        <v>78719</v>
      </c>
      <c r="K9" s="132">
        <f t="shared" ref="K9:K17" si="2">ROUND((D9/D6)*100,1)</f>
        <v>100.7</v>
      </c>
      <c r="L9" s="132">
        <f t="shared" ref="L9:M24" si="3">ROUND((F9/F6)*100,1)</f>
        <v>91.4</v>
      </c>
      <c r="M9" s="132">
        <f t="shared" si="3"/>
        <v>97.9</v>
      </c>
      <c r="N9" s="133">
        <f t="shared" ref="N9:N17" si="4">ROUND((I9/I6)*100,1)</f>
        <v>100.6</v>
      </c>
    </row>
    <row r="10" spans="1:14" ht="30" hidden="1" customHeight="1" x14ac:dyDescent="0.15">
      <c r="A10" s="728"/>
      <c r="B10" s="122" t="s">
        <v>83</v>
      </c>
      <c r="C10" s="123">
        <v>77484662</v>
      </c>
      <c r="D10" s="124">
        <v>71135638</v>
      </c>
      <c r="E10" s="124">
        <v>998417480</v>
      </c>
      <c r="F10" s="124">
        <v>989657183</v>
      </c>
      <c r="G10" s="124">
        <v>60914899</v>
      </c>
      <c r="H10" s="124">
        <v>95986</v>
      </c>
      <c r="I10" s="124">
        <v>88758</v>
      </c>
      <c r="J10" s="124">
        <f t="shared" si="0"/>
        <v>12885</v>
      </c>
      <c r="K10" s="132">
        <f t="shared" si="2"/>
        <v>99.1</v>
      </c>
      <c r="L10" s="132">
        <f t="shared" si="3"/>
        <v>87.8</v>
      </c>
      <c r="M10" s="132">
        <f t="shared" si="3"/>
        <v>99.7</v>
      </c>
      <c r="N10" s="133">
        <f t="shared" si="4"/>
        <v>99</v>
      </c>
    </row>
    <row r="11" spans="1:14" ht="30" hidden="1" customHeight="1" x14ac:dyDescent="0.15">
      <c r="A11" s="728"/>
      <c r="B11" s="127" t="s">
        <v>29</v>
      </c>
      <c r="C11" s="118">
        <f t="shared" ref="C11:I11" si="5">C9+C10</f>
        <v>119704636</v>
      </c>
      <c r="D11" s="119">
        <f t="shared" si="5"/>
        <v>113217663</v>
      </c>
      <c r="E11" s="119">
        <f t="shared" si="5"/>
        <v>4321920685</v>
      </c>
      <c r="F11" s="119">
        <f t="shared" si="5"/>
        <v>4310714720</v>
      </c>
      <c r="G11" s="119">
        <f t="shared" si="5"/>
        <v>1085679482</v>
      </c>
      <c r="H11" s="119">
        <f t="shared" si="5"/>
        <v>365641</v>
      </c>
      <c r="I11" s="119">
        <f t="shared" si="5"/>
        <v>355223</v>
      </c>
      <c r="J11" s="119">
        <f t="shared" si="0"/>
        <v>36105</v>
      </c>
      <c r="K11" s="134">
        <f t="shared" si="2"/>
        <v>99.7</v>
      </c>
      <c r="L11" s="134">
        <f t="shared" si="3"/>
        <v>90.5</v>
      </c>
      <c r="M11" s="134">
        <f t="shared" si="3"/>
        <v>98</v>
      </c>
      <c r="N11" s="135">
        <f t="shared" si="4"/>
        <v>100.2</v>
      </c>
    </row>
    <row r="12" spans="1:14" ht="30" hidden="1" customHeight="1" x14ac:dyDescent="0.15">
      <c r="A12" s="728" t="s">
        <v>85</v>
      </c>
      <c r="B12" s="114" t="s">
        <v>82</v>
      </c>
      <c r="C12" s="118">
        <v>42616146</v>
      </c>
      <c r="D12" s="119">
        <v>42476942</v>
      </c>
      <c r="E12" s="119">
        <v>3038832640</v>
      </c>
      <c r="F12" s="119">
        <v>3036554854</v>
      </c>
      <c r="G12" s="119">
        <v>995171083</v>
      </c>
      <c r="H12" s="119">
        <v>272643</v>
      </c>
      <c r="I12" s="119">
        <v>269413</v>
      </c>
      <c r="J12" s="119">
        <f t="shared" si="0"/>
        <v>71307</v>
      </c>
      <c r="K12" s="134">
        <f t="shared" si="2"/>
        <v>100.9</v>
      </c>
      <c r="L12" s="134">
        <f t="shared" si="3"/>
        <v>91.4</v>
      </c>
      <c r="M12" s="134">
        <f t="shared" si="3"/>
        <v>97.1</v>
      </c>
      <c r="N12" s="135">
        <f t="shared" si="4"/>
        <v>101.1</v>
      </c>
    </row>
    <row r="13" spans="1:14" ht="30" hidden="1" customHeight="1" x14ac:dyDescent="0.15">
      <c r="A13" s="728"/>
      <c r="B13" s="122" t="s">
        <v>83</v>
      </c>
      <c r="C13" s="123">
        <v>76730820</v>
      </c>
      <c r="D13" s="124">
        <v>70534270</v>
      </c>
      <c r="E13" s="124">
        <v>898079545</v>
      </c>
      <c r="F13" s="124">
        <v>890443379</v>
      </c>
      <c r="G13" s="124">
        <v>62600152</v>
      </c>
      <c r="H13" s="124">
        <v>94698</v>
      </c>
      <c r="I13" s="124">
        <v>87680</v>
      </c>
      <c r="J13" s="124">
        <f t="shared" si="0"/>
        <v>11704</v>
      </c>
      <c r="K13" s="132">
        <f t="shared" si="2"/>
        <v>99.2</v>
      </c>
      <c r="L13" s="132">
        <f t="shared" si="3"/>
        <v>90</v>
      </c>
      <c r="M13" s="132">
        <f t="shared" si="3"/>
        <v>102.8</v>
      </c>
      <c r="N13" s="133">
        <f t="shared" si="4"/>
        <v>98.8</v>
      </c>
    </row>
    <row r="14" spans="1:14" ht="30" hidden="1" customHeight="1" x14ac:dyDescent="0.15">
      <c r="A14" s="728"/>
      <c r="B14" s="127" t="s">
        <v>29</v>
      </c>
      <c r="C14" s="128">
        <f t="shared" ref="C14:I14" si="6">C12+C13</f>
        <v>119346966</v>
      </c>
      <c r="D14" s="129">
        <f t="shared" si="6"/>
        <v>113011212</v>
      </c>
      <c r="E14" s="129">
        <f t="shared" si="6"/>
        <v>3936912185</v>
      </c>
      <c r="F14" s="129">
        <f t="shared" si="6"/>
        <v>3926998233</v>
      </c>
      <c r="G14" s="129">
        <f t="shared" si="6"/>
        <v>1057771235</v>
      </c>
      <c r="H14" s="129">
        <f t="shared" si="6"/>
        <v>367341</v>
      </c>
      <c r="I14" s="129">
        <f t="shared" si="6"/>
        <v>357093</v>
      </c>
      <c r="J14" s="129">
        <f t="shared" si="0"/>
        <v>32987</v>
      </c>
      <c r="K14" s="136">
        <f t="shared" si="2"/>
        <v>99.8</v>
      </c>
      <c r="L14" s="136">
        <f t="shared" si="3"/>
        <v>91.1</v>
      </c>
      <c r="M14" s="136">
        <f t="shared" si="3"/>
        <v>97.4</v>
      </c>
      <c r="N14" s="137">
        <f t="shared" si="4"/>
        <v>100.5</v>
      </c>
    </row>
    <row r="15" spans="1:14" ht="30" hidden="1" customHeight="1" x14ac:dyDescent="0.15">
      <c r="A15" s="739" t="s">
        <v>86</v>
      </c>
      <c r="B15" s="114" t="s">
        <v>82</v>
      </c>
      <c r="C15" s="118">
        <v>42895801</v>
      </c>
      <c r="D15" s="119">
        <v>42751682</v>
      </c>
      <c r="E15" s="119">
        <v>2777450007</v>
      </c>
      <c r="F15" s="119">
        <v>2775297331</v>
      </c>
      <c r="G15" s="119">
        <v>940728925</v>
      </c>
      <c r="H15" s="119">
        <v>275580</v>
      </c>
      <c r="I15" s="119">
        <v>272249</v>
      </c>
      <c r="J15" s="119">
        <f t="shared" si="0"/>
        <v>64749</v>
      </c>
      <c r="K15" s="134">
        <f t="shared" si="2"/>
        <v>100.6</v>
      </c>
      <c r="L15" s="134">
        <f t="shared" si="3"/>
        <v>91.4</v>
      </c>
      <c r="M15" s="134">
        <f t="shared" si="3"/>
        <v>94.5</v>
      </c>
      <c r="N15" s="135">
        <f t="shared" si="4"/>
        <v>101.1</v>
      </c>
    </row>
    <row r="16" spans="1:14" ht="30" hidden="1" customHeight="1" x14ac:dyDescent="0.15">
      <c r="A16" s="740"/>
      <c r="B16" s="122" t="s">
        <v>83</v>
      </c>
      <c r="C16" s="123">
        <v>76311168</v>
      </c>
      <c r="D16" s="124">
        <v>70106072</v>
      </c>
      <c r="E16" s="124">
        <v>802516158</v>
      </c>
      <c r="F16" s="124">
        <v>796105725</v>
      </c>
      <c r="G16" s="124">
        <v>62746118</v>
      </c>
      <c r="H16" s="124">
        <v>93852</v>
      </c>
      <c r="I16" s="124">
        <v>86851</v>
      </c>
      <c r="J16" s="124">
        <f t="shared" si="0"/>
        <v>10516</v>
      </c>
      <c r="K16" s="132">
        <f t="shared" si="2"/>
        <v>99.4</v>
      </c>
      <c r="L16" s="132">
        <f t="shared" si="3"/>
        <v>89.4</v>
      </c>
      <c r="M16" s="132">
        <f t="shared" si="3"/>
        <v>100.2</v>
      </c>
      <c r="N16" s="133">
        <f t="shared" si="4"/>
        <v>99.1</v>
      </c>
    </row>
    <row r="17" spans="1:14" ht="30" hidden="1" customHeight="1" x14ac:dyDescent="0.15">
      <c r="A17" s="741"/>
      <c r="B17" s="114" t="s">
        <v>29</v>
      </c>
      <c r="C17" s="118">
        <f t="shared" ref="C17:I17" si="7">C15+C16</f>
        <v>119206969</v>
      </c>
      <c r="D17" s="119">
        <f t="shared" si="7"/>
        <v>112857754</v>
      </c>
      <c r="E17" s="119">
        <f t="shared" si="7"/>
        <v>3579966165</v>
      </c>
      <c r="F17" s="119">
        <f t="shared" si="7"/>
        <v>3571403056</v>
      </c>
      <c r="G17" s="119">
        <f t="shared" si="7"/>
        <v>1003475043</v>
      </c>
      <c r="H17" s="119">
        <f t="shared" si="7"/>
        <v>369432</v>
      </c>
      <c r="I17" s="119">
        <f t="shared" si="7"/>
        <v>359100</v>
      </c>
      <c r="J17" s="119">
        <f t="shared" si="0"/>
        <v>30032</v>
      </c>
      <c r="K17" s="134">
        <f t="shared" si="2"/>
        <v>99.9</v>
      </c>
      <c r="L17" s="134">
        <f t="shared" si="3"/>
        <v>90.9</v>
      </c>
      <c r="M17" s="134">
        <f t="shared" si="3"/>
        <v>94.9</v>
      </c>
      <c r="N17" s="135">
        <f t="shared" si="4"/>
        <v>100.6</v>
      </c>
    </row>
    <row r="18" spans="1:14" ht="30" hidden="1" customHeight="1" x14ac:dyDescent="0.15">
      <c r="A18" s="742" t="s">
        <v>87</v>
      </c>
      <c r="B18" s="114" t="s">
        <v>82</v>
      </c>
      <c r="C18" s="118">
        <v>43170530</v>
      </c>
      <c r="D18" s="119">
        <v>43019234</v>
      </c>
      <c r="E18" s="119">
        <v>2524821386</v>
      </c>
      <c r="F18" s="119">
        <v>2522751807</v>
      </c>
      <c r="G18" s="119">
        <v>896629137</v>
      </c>
      <c r="H18" s="119">
        <v>277629</v>
      </c>
      <c r="I18" s="119">
        <v>274168</v>
      </c>
      <c r="J18" s="119">
        <f t="shared" si="0"/>
        <v>58485</v>
      </c>
      <c r="K18" s="134">
        <f>ROUND((D18/D15)*100,1)</f>
        <v>100.6</v>
      </c>
      <c r="L18" s="134">
        <f t="shared" si="3"/>
        <v>90.9</v>
      </c>
      <c r="M18" s="134">
        <f t="shared" si="3"/>
        <v>95.3</v>
      </c>
      <c r="N18" s="135">
        <f>ROUND((I18/I15)*100,1)</f>
        <v>100.7</v>
      </c>
    </row>
    <row r="19" spans="1:14" ht="30" hidden="1" customHeight="1" x14ac:dyDescent="0.15">
      <c r="A19" s="743"/>
      <c r="B19" s="122" t="s">
        <v>83</v>
      </c>
      <c r="C19" s="123">
        <v>75934396</v>
      </c>
      <c r="D19" s="124">
        <v>69753830</v>
      </c>
      <c r="E19" s="124">
        <v>712689934</v>
      </c>
      <c r="F19" s="124">
        <v>707621337</v>
      </c>
      <c r="G19" s="124">
        <v>64316467</v>
      </c>
      <c r="H19" s="124">
        <v>93176</v>
      </c>
      <c r="I19" s="124">
        <v>86235</v>
      </c>
      <c r="J19" s="124">
        <f t="shared" si="0"/>
        <v>9386</v>
      </c>
      <c r="K19" s="132">
        <f>ROUND((D19/D16)*100,1)</f>
        <v>99.5</v>
      </c>
      <c r="L19" s="132">
        <f t="shared" si="3"/>
        <v>88.9</v>
      </c>
      <c r="M19" s="132">
        <f t="shared" si="3"/>
        <v>102.5</v>
      </c>
      <c r="N19" s="133">
        <f>ROUND((I19/I16)*100,1)</f>
        <v>99.3</v>
      </c>
    </row>
    <row r="20" spans="1:14" ht="30" hidden="1" customHeight="1" x14ac:dyDescent="0.15">
      <c r="A20" s="744"/>
      <c r="B20" s="127" t="s">
        <v>29</v>
      </c>
      <c r="C20" s="138">
        <f t="shared" ref="C20:I20" si="8">C18+C19</f>
        <v>119104926</v>
      </c>
      <c r="D20" s="119">
        <f t="shared" si="8"/>
        <v>112773064</v>
      </c>
      <c r="E20" s="119">
        <f t="shared" si="8"/>
        <v>3237511320</v>
      </c>
      <c r="F20" s="129">
        <f t="shared" si="8"/>
        <v>3230373144</v>
      </c>
      <c r="G20" s="129">
        <f t="shared" si="8"/>
        <v>960945604</v>
      </c>
      <c r="H20" s="129">
        <f t="shared" si="8"/>
        <v>370805</v>
      </c>
      <c r="I20" s="119">
        <f t="shared" si="8"/>
        <v>360403</v>
      </c>
      <c r="J20" s="119">
        <v>30032</v>
      </c>
      <c r="K20" s="134">
        <f>ROUND((D20/D17)*100,1)</f>
        <v>99.9</v>
      </c>
      <c r="L20" s="134">
        <f t="shared" si="3"/>
        <v>90.5</v>
      </c>
      <c r="M20" s="134">
        <f t="shared" si="3"/>
        <v>95.8</v>
      </c>
      <c r="N20" s="135">
        <f>ROUND((I20/I17)*100,1)</f>
        <v>100.4</v>
      </c>
    </row>
    <row r="21" spans="1:14" ht="30" hidden="1" customHeight="1" x14ac:dyDescent="0.15">
      <c r="A21" s="739" t="s">
        <v>4</v>
      </c>
      <c r="B21" s="114" t="s">
        <v>82</v>
      </c>
      <c r="C21" s="119">
        <v>43509287</v>
      </c>
      <c r="D21" s="119">
        <v>43345427</v>
      </c>
      <c r="E21" s="119">
        <v>2314195452</v>
      </c>
      <c r="F21" s="119">
        <v>2312045685</v>
      </c>
      <c r="G21" s="119">
        <v>847831607</v>
      </c>
      <c r="H21" s="119">
        <v>280212</v>
      </c>
      <c r="I21" s="119">
        <v>276540</v>
      </c>
      <c r="J21" s="119">
        <f>ROUND((E21*1000)/C21,0)</f>
        <v>53189</v>
      </c>
      <c r="K21" s="134">
        <f>ROUND((D21/D18)*100,1)</f>
        <v>100.8</v>
      </c>
      <c r="L21" s="134">
        <f t="shared" si="3"/>
        <v>91.6</v>
      </c>
      <c r="M21" s="134">
        <f t="shared" si="3"/>
        <v>94.6</v>
      </c>
      <c r="N21" s="135">
        <f>ROUND((I21/I18)*100,1)</f>
        <v>100.9</v>
      </c>
    </row>
    <row r="22" spans="1:14" ht="30" hidden="1" customHeight="1" x14ac:dyDescent="0.15">
      <c r="A22" s="740"/>
      <c r="B22" s="122" t="s">
        <v>83</v>
      </c>
      <c r="C22" s="123">
        <v>75634218</v>
      </c>
      <c r="D22" s="124">
        <v>69462277</v>
      </c>
      <c r="E22" s="124">
        <v>631082716</v>
      </c>
      <c r="F22" s="124">
        <v>626855407</v>
      </c>
      <c r="G22" s="124">
        <v>65526869</v>
      </c>
      <c r="H22" s="124">
        <v>92449</v>
      </c>
      <c r="I22" s="124">
        <v>85461</v>
      </c>
      <c r="J22" s="124">
        <f>ROUND((E22*1000)/C22,0)</f>
        <v>8344</v>
      </c>
      <c r="K22" s="132">
        <f t="shared" ref="K22:K77" si="9">ROUND((D22/D19)*100,1)</f>
        <v>99.6</v>
      </c>
      <c r="L22" s="132">
        <f t="shared" si="3"/>
        <v>88.6</v>
      </c>
      <c r="M22" s="132">
        <f t="shared" si="3"/>
        <v>101.9</v>
      </c>
      <c r="N22" s="133">
        <f t="shared" ref="N22:N77" si="10">ROUND((I22/I19)*100,1)</f>
        <v>99.1</v>
      </c>
    </row>
    <row r="23" spans="1:14" ht="30" hidden="1" customHeight="1" x14ac:dyDescent="0.15">
      <c r="A23" s="741"/>
      <c r="B23" s="127" t="s">
        <v>29</v>
      </c>
      <c r="C23" s="139">
        <f t="shared" ref="C23:I23" si="11">C21+C22</f>
        <v>119143505</v>
      </c>
      <c r="D23" s="129">
        <f t="shared" si="11"/>
        <v>112807704</v>
      </c>
      <c r="E23" s="129">
        <f t="shared" si="11"/>
        <v>2945278168</v>
      </c>
      <c r="F23" s="129">
        <f t="shared" si="11"/>
        <v>2938901092</v>
      </c>
      <c r="G23" s="129">
        <f t="shared" si="11"/>
        <v>913358476</v>
      </c>
      <c r="H23" s="129">
        <f t="shared" si="11"/>
        <v>372661</v>
      </c>
      <c r="I23" s="129">
        <f t="shared" si="11"/>
        <v>362001</v>
      </c>
      <c r="J23" s="129">
        <v>27182</v>
      </c>
      <c r="K23" s="136">
        <f t="shared" si="9"/>
        <v>100</v>
      </c>
      <c r="L23" s="136">
        <f t="shared" si="3"/>
        <v>91</v>
      </c>
      <c r="M23" s="136">
        <f t="shared" si="3"/>
        <v>95</v>
      </c>
      <c r="N23" s="137">
        <f t="shared" si="10"/>
        <v>100.4</v>
      </c>
    </row>
    <row r="24" spans="1:14" ht="30" hidden="1" customHeight="1" x14ac:dyDescent="0.15">
      <c r="A24" s="739" t="s">
        <v>88</v>
      </c>
      <c r="B24" s="114" t="s">
        <v>82</v>
      </c>
      <c r="C24" s="119">
        <v>43907715</v>
      </c>
      <c r="D24" s="119">
        <v>43731358</v>
      </c>
      <c r="E24" s="119">
        <v>2131888719</v>
      </c>
      <c r="F24" s="119">
        <v>2129629920</v>
      </c>
      <c r="G24" s="119">
        <v>798084392</v>
      </c>
      <c r="H24" s="119">
        <v>282904</v>
      </c>
      <c r="I24" s="119">
        <v>278991</v>
      </c>
      <c r="J24" s="119">
        <f>ROUND((E24*1000)/C24,0)</f>
        <v>48554</v>
      </c>
      <c r="K24" s="134">
        <f t="shared" si="9"/>
        <v>100.9</v>
      </c>
      <c r="L24" s="134">
        <f t="shared" si="3"/>
        <v>92.1</v>
      </c>
      <c r="M24" s="134">
        <f t="shared" si="3"/>
        <v>94.1</v>
      </c>
      <c r="N24" s="135">
        <f t="shared" si="10"/>
        <v>100.9</v>
      </c>
    </row>
    <row r="25" spans="1:14" ht="30" hidden="1" customHeight="1" x14ac:dyDescent="0.15">
      <c r="A25" s="740"/>
      <c r="B25" s="122" t="s">
        <v>83</v>
      </c>
      <c r="C25" s="123">
        <v>75286833</v>
      </c>
      <c r="D25" s="124">
        <v>69143905</v>
      </c>
      <c r="E25" s="124">
        <v>560176387</v>
      </c>
      <c r="F25" s="124">
        <v>556819435</v>
      </c>
      <c r="G25" s="124">
        <v>67585226</v>
      </c>
      <c r="H25" s="124">
        <v>91709</v>
      </c>
      <c r="I25" s="124">
        <v>84724</v>
      </c>
      <c r="J25" s="124">
        <f>ROUND((E25*1000)/C25,0)</f>
        <v>7441</v>
      </c>
      <c r="K25" s="132">
        <f t="shared" si="9"/>
        <v>99.5</v>
      </c>
      <c r="L25" s="132">
        <f t="shared" ref="L25:M40" si="12">ROUND((F25/F22)*100,1)</f>
        <v>88.8</v>
      </c>
      <c r="M25" s="132">
        <f t="shared" si="12"/>
        <v>103.1</v>
      </c>
      <c r="N25" s="133">
        <f>ROUND((I25/I22)*100,1)</f>
        <v>99.1</v>
      </c>
    </row>
    <row r="26" spans="1:14" ht="30" hidden="1" customHeight="1" x14ac:dyDescent="0.15">
      <c r="A26" s="741"/>
      <c r="B26" s="127" t="s">
        <v>29</v>
      </c>
      <c r="C26" s="139">
        <f t="shared" ref="C26:I26" si="13">C24+C25</f>
        <v>119194548</v>
      </c>
      <c r="D26" s="129">
        <f t="shared" si="13"/>
        <v>112875263</v>
      </c>
      <c r="E26" s="129">
        <f t="shared" si="13"/>
        <v>2692065106</v>
      </c>
      <c r="F26" s="129">
        <f t="shared" si="13"/>
        <v>2686449355</v>
      </c>
      <c r="G26" s="129">
        <f t="shared" si="13"/>
        <v>865669618</v>
      </c>
      <c r="H26" s="129">
        <f t="shared" si="13"/>
        <v>374613</v>
      </c>
      <c r="I26" s="129">
        <f t="shared" si="13"/>
        <v>363715</v>
      </c>
      <c r="J26" s="129">
        <f>ROUND((E26*1000)/C26,0)</f>
        <v>22585</v>
      </c>
      <c r="K26" s="136">
        <f t="shared" si="9"/>
        <v>100.1</v>
      </c>
      <c r="L26" s="136">
        <f t="shared" si="12"/>
        <v>91.4</v>
      </c>
      <c r="M26" s="136">
        <f t="shared" si="12"/>
        <v>94.8</v>
      </c>
      <c r="N26" s="137">
        <f t="shared" si="10"/>
        <v>100.5</v>
      </c>
    </row>
    <row r="27" spans="1:14" ht="30" hidden="1" customHeight="1" x14ac:dyDescent="0.15">
      <c r="A27" s="739" t="s">
        <v>6</v>
      </c>
      <c r="B27" s="114" t="s">
        <v>82</v>
      </c>
      <c r="C27" s="119">
        <v>46760901</v>
      </c>
      <c r="D27" s="119">
        <v>46565657</v>
      </c>
      <c r="E27" s="119">
        <v>2078536640</v>
      </c>
      <c r="F27" s="119">
        <v>2076078071</v>
      </c>
      <c r="G27" s="119">
        <v>786602694</v>
      </c>
      <c r="H27" s="119">
        <v>296705</v>
      </c>
      <c r="I27" s="119">
        <v>292392</v>
      </c>
      <c r="J27" s="119">
        <f t="shared" ref="J27:J84" si="14">ROUND((E27*1000)/C27,0)</f>
        <v>44450</v>
      </c>
      <c r="K27" s="134">
        <f t="shared" si="9"/>
        <v>106.5</v>
      </c>
      <c r="L27" s="134">
        <f>ROUND((F27/F24)*100,1)</f>
        <v>97.5</v>
      </c>
      <c r="M27" s="134">
        <f t="shared" si="12"/>
        <v>98.6</v>
      </c>
      <c r="N27" s="135">
        <f t="shared" si="10"/>
        <v>104.8</v>
      </c>
    </row>
    <row r="28" spans="1:14" ht="30" hidden="1" customHeight="1" x14ac:dyDescent="0.15">
      <c r="A28" s="740"/>
      <c r="B28" s="122" t="s">
        <v>83</v>
      </c>
      <c r="C28" s="123">
        <v>77897748</v>
      </c>
      <c r="D28" s="124">
        <v>71644644</v>
      </c>
      <c r="E28" s="124">
        <v>527449251</v>
      </c>
      <c r="F28" s="124">
        <v>524915568</v>
      </c>
      <c r="G28" s="124">
        <v>72214786</v>
      </c>
      <c r="H28" s="124">
        <v>96358</v>
      </c>
      <c r="I28" s="124">
        <v>89149</v>
      </c>
      <c r="J28" s="124">
        <f t="shared" si="14"/>
        <v>6771</v>
      </c>
      <c r="K28" s="132">
        <f t="shared" si="9"/>
        <v>103.6</v>
      </c>
      <c r="L28" s="132">
        <f t="shared" si="12"/>
        <v>94.3</v>
      </c>
      <c r="M28" s="132">
        <f t="shared" si="12"/>
        <v>106.8</v>
      </c>
      <c r="N28" s="133">
        <f t="shared" si="10"/>
        <v>105.2</v>
      </c>
    </row>
    <row r="29" spans="1:14" ht="30" hidden="1" customHeight="1" x14ac:dyDescent="0.15">
      <c r="A29" s="741"/>
      <c r="B29" s="127" t="s">
        <v>29</v>
      </c>
      <c r="C29" s="139">
        <f t="shared" ref="C29:I29" si="15">C27+C28</f>
        <v>124658649</v>
      </c>
      <c r="D29" s="129">
        <f t="shared" si="15"/>
        <v>118210301</v>
      </c>
      <c r="E29" s="129">
        <f t="shared" si="15"/>
        <v>2605985891</v>
      </c>
      <c r="F29" s="129">
        <f t="shared" si="15"/>
        <v>2600993639</v>
      </c>
      <c r="G29" s="129">
        <f t="shared" si="15"/>
        <v>858817480</v>
      </c>
      <c r="H29" s="129">
        <f t="shared" si="15"/>
        <v>393063</v>
      </c>
      <c r="I29" s="129">
        <f t="shared" si="15"/>
        <v>381541</v>
      </c>
      <c r="J29" s="129">
        <f t="shared" si="14"/>
        <v>20905</v>
      </c>
      <c r="K29" s="136">
        <f t="shared" si="9"/>
        <v>104.7</v>
      </c>
      <c r="L29" s="136">
        <f t="shared" si="12"/>
        <v>96.8</v>
      </c>
      <c r="M29" s="136">
        <f t="shared" si="12"/>
        <v>99.2</v>
      </c>
      <c r="N29" s="137">
        <f t="shared" si="10"/>
        <v>104.9</v>
      </c>
    </row>
    <row r="30" spans="1:14" ht="30" hidden="1" customHeight="1" x14ac:dyDescent="0.15">
      <c r="A30" s="739" t="s">
        <v>7</v>
      </c>
      <c r="B30" s="114" t="s">
        <v>82</v>
      </c>
      <c r="C30" s="119">
        <v>47232164</v>
      </c>
      <c r="D30" s="119">
        <v>47026640</v>
      </c>
      <c r="E30" s="119">
        <v>2009912063</v>
      </c>
      <c r="F30" s="119">
        <v>2007378257</v>
      </c>
      <c r="G30" s="119">
        <v>766044679</v>
      </c>
      <c r="H30" s="119">
        <v>300541</v>
      </c>
      <c r="I30" s="119">
        <v>296033</v>
      </c>
      <c r="J30" s="119">
        <f t="shared" si="14"/>
        <v>42554</v>
      </c>
      <c r="K30" s="140">
        <f t="shared" si="9"/>
        <v>101</v>
      </c>
      <c r="L30" s="140">
        <f t="shared" si="12"/>
        <v>96.7</v>
      </c>
      <c r="M30" s="140">
        <f t="shared" si="12"/>
        <v>97.4</v>
      </c>
      <c r="N30" s="141">
        <f t="shared" si="10"/>
        <v>101.2</v>
      </c>
    </row>
    <row r="31" spans="1:14" ht="30" hidden="1" customHeight="1" x14ac:dyDescent="0.15">
      <c r="A31" s="740"/>
      <c r="B31" s="122" t="s">
        <v>83</v>
      </c>
      <c r="C31" s="123">
        <v>77472603</v>
      </c>
      <c r="D31" s="124">
        <v>71261812</v>
      </c>
      <c r="E31" s="124">
        <v>491891745</v>
      </c>
      <c r="F31" s="124">
        <v>489802029</v>
      </c>
      <c r="G31" s="124">
        <v>76287742</v>
      </c>
      <c r="H31" s="124">
        <v>95469</v>
      </c>
      <c r="I31" s="124">
        <v>88366</v>
      </c>
      <c r="J31" s="124">
        <f t="shared" si="14"/>
        <v>6349</v>
      </c>
      <c r="K31" s="132">
        <f t="shared" si="9"/>
        <v>99.5</v>
      </c>
      <c r="L31" s="132">
        <f t="shared" si="12"/>
        <v>93.3</v>
      </c>
      <c r="M31" s="132">
        <f t="shared" si="12"/>
        <v>105.6</v>
      </c>
      <c r="N31" s="133">
        <f t="shared" si="10"/>
        <v>99.1</v>
      </c>
    </row>
    <row r="32" spans="1:14" ht="30" hidden="1" customHeight="1" x14ac:dyDescent="0.15">
      <c r="A32" s="741"/>
      <c r="B32" s="127" t="s">
        <v>29</v>
      </c>
      <c r="C32" s="139">
        <f t="shared" ref="C32:I32" si="16">C30+C31</f>
        <v>124704767</v>
      </c>
      <c r="D32" s="129">
        <f t="shared" si="16"/>
        <v>118288452</v>
      </c>
      <c r="E32" s="129">
        <f t="shared" si="16"/>
        <v>2501803808</v>
      </c>
      <c r="F32" s="129">
        <f t="shared" si="16"/>
        <v>2497180286</v>
      </c>
      <c r="G32" s="129">
        <f t="shared" si="16"/>
        <v>842332421</v>
      </c>
      <c r="H32" s="129">
        <f t="shared" si="16"/>
        <v>396010</v>
      </c>
      <c r="I32" s="129">
        <f t="shared" si="16"/>
        <v>384399</v>
      </c>
      <c r="J32" s="129">
        <f t="shared" si="14"/>
        <v>20062</v>
      </c>
      <c r="K32" s="136">
        <f t="shared" si="9"/>
        <v>100.1</v>
      </c>
      <c r="L32" s="136">
        <f t="shared" si="12"/>
        <v>96</v>
      </c>
      <c r="M32" s="136">
        <f t="shared" si="12"/>
        <v>98.1</v>
      </c>
      <c r="N32" s="137">
        <f t="shared" si="10"/>
        <v>100.7</v>
      </c>
    </row>
    <row r="33" spans="1:14" ht="30" hidden="1" customHeight="1" x14ac:dyDescent="0.15">
      <c r="A33" s="142"/>
      <c r="B33" s="122" t="s">
        <v>82</v>
      </c>
      <c r="C33" s="123">
        <v>47659222</v>
      </c>
      <c r="D33" s="124">
        <v>47448735</v>
      </c>
      <c r="E33" s="124">
        <v>1990887004</v>
      </c>
      <c r="F33" s="124">
        <v>1988371100</v>
      </c>
      <c r="G33" s="124">
        <v>761777856</v>
      </c>
      <c r="H33" s="124">
        <v>303623</v>
      </c>
      <c r="I33" s="124">
        <v>299017</v>
      </c>
      <c r="J33" s="124">
        <f t="shared" si="14"/>
        <v>41773</v>
      </c>
      <c r="K33" s="143">
        <f t="shared" si="9"/>
        <v>100.9</v>
      </c>
      <c r="L33" s="143">
        <f t="shared" si="12"/>
        <v>99.1</v>
      </c>
      <c r="M33" s="143">
        <f t="shared" si="12"/>
        <v>99.4</v>
      </c>
      <c r="N33" s="144">
        <f t="shared" si="10"/>
        <v>101</v>
      </c>
    </row>
    <row r="34" spans="1:14" ht="30" hidden="1" customHeight="1" x14ac:dyDescent="0.15">
      <c r="A34" s="142" t="s">
        <v>8</v>
      </c>
      <c r="B34" s="122" t="s">
        <v>83</v>
      </c>
      <c r="C34" s="123">
        <v>76923835</v>
      </c>
      <c r="D34" s="124">
        <v>70747283</v>
      </c>
      <c r="E34" s="124">
        <v>469327491</v>
      </c>
      <c r="F34" s="124">
        <v>467456509</v>
      </c>
      <c r="G34" s="124">
        <v>79864265</v>
      </c>
      <c r="H34" s="124">
        <v>94598</v>
      </c>
      <c r="I34" s="124">
        <v>87540</v>
      </c>
      <c r="J34" s="124">
        <f t="shared" si="14"/>
        <v>6101</v>
      </c>
      <c r="K34" s="143">
        <f t="shared" si="9"/>
        <v>99.3</v>
      </c>
      <c r="L34" s="143">
        <f t="shared" si="12"/>
        <v>95.4</v>
      </c>
      <c r="M34" s="143">
        <f t="shared" si="12"/>
        <v>104.7</v>
      </c>
      <c r="N34" s="144">
        <f t="shared" si="10"/>
        <v>99.1</v>
      </c>
    </row>
    <row r="35" spans="1:14" ht="30" hidden="1" customHeight="1" x14ac:dyDescent="0.15">
      <c r="A35" s="145"/>
      <c r="B35" s="127" t="s">
        <v>29</v>
      </c>
      <c r="C35" s="128">
        <f t="shared" ref="C35:I35" si="17">SUM(C33:C34)</f>
        <v>124583057</v>
      </c>
      <c r="D35" s="128">
        <f t="shared" si="17"/>
        <v>118196018</v>
      </c>
      <c r="E35" s="128">
        <f t="shared" si="17"/>
        <v>2460214495</v>
      </c>
      <c r="F35" s="128">
        <f t="shared" si="17"/>
        <v>2455827609</v>
      </c>
      <c r="G35" s="129">
        <f t="shared" si="17"/>
        <v>841642121</v>
      </c>
      <c r="H35" s="129">
        <f t="shared" si="17"/>
        <v>398221</v>
      </c>
      <c r="I35" s="128">
        <f t="shared" si="17"/>
        <v>386557</v>
      </c>
      <c r="J35" s="129">
        <f t="shared" si="14"/>
        <v>19748</v>
      </c>
      <c r="K35" s="130">
        <f t="shared" si="9"/>
        <v>99.9</v>
      </c>
      <c r="L35" s="130">
        <f t="shared" si="12"/>
        <v>98.3</v>
      </c>
      <c r="M35" s="130">
        <f t="shared" si="12"/>
        <v>99.9</v>
      </c>
      <c r="N35" s="131">
        <f t="shared" si="10"/>
        <v>100.6</v>
      </c>
    </row>
    <row r="36" spans="1:14" ht="30" hidden="1" customHeight="1" x14ac:dyDescent="0.15">
      <c r="A36" s="142"/>
      <c r="B36" s="122" t="s">
        <v>82</v>
      </c>
      <c r="C36" s="123">
        <v>48044928</v>
      </c>
      <c r="D36" s="124">
        <v>47827133</v>
      </c>
      <c r="E36" s="124">
        <v>1988174094</v>
      </c>
      <c r="F36" s="124">
        <v>1985599550</v>
      </c>
      <c r="G36" s="124">
        <v>756931754</v>
      </c>
      <c r="H36" s="124">
        <v>305372</v>
      </c>
      <c r="I36" s="124">
        <v>300700</v>
      </c>
      <c r="J36" s="124">
        <f t="shared" si="14"/>
        <v>41382</v>
      </c>
      <c r="K36" s="143">
        <f t="shared" si="9"/>
        <v>100.8</v>
      </c>
      <c r="L36" s="143">
        <f t="shared" si="12"/>
        <v>99.9</v>
      </c>
      <c r="M36" s="143">
        <f t="shared" si="12"/>
        <v>99.4</v>
      </c>
      <c r="N36" s="144">
        <f t="shared" si="10"/>
        <v>100.6</v>
      </c>
    </row>
    <row r="37" spans="1:14" ht="30" hidden="1" customHeight="1" x14ac:dyDescent="0.15">
      <c r="A37" s="142" t="s">
        <v>9</v>
      </c>
      <c r="B37" s="122" t="s">
        <v>83</v>
      </c>
      <c r="C37" s="123">
        <v>76101296</v>
      </c>
      <c r="D37" s="124">
        <v>69543162</v>
      </c>
      <c r="E37" s="124">
        <v>447652695</v>
      </c>
      <c r="F37" s="124">
        <v>445923809</v>
      </c>
      <c r="G37" s="124">
        <v>82415353</v>
      </c>
      <c r="H37" s="124">
        <v>93390</v>
      </c>
      <c r="I37" s="124">
        <v>86281</v>
      </c>
      <c r="J37" s="124">
        <f t="shared" si="14"/>
        <v>5882</v>
      </c>
      <c r="K37" s="143">
        <f t="shared" si="9"/>
        <v>98.3</v>
      </c>
      <c r="L37" s="143">
        <f t="shared" si="12"/>
        <v>95.4</v>
      </c>
      <c r="M37" s="143">
        <f t="shared" si="12"/>
        <v>103.2</v>
      </c>
      <c r="N37" s="144">
        <f t="shared" si="10"/>
        <v>98.6</v>
      </c>
    </row>
    <row r="38" spans="1:14" ht="30" hidden="1" customHeight="1" x14ac:dyDescent="0.15">
      <c r="A38" s="145"/>
      <c r="B38" s="127" t="s">
        <v>29</v>
      </c>
      <c r="C38" s="128">
        <f t="shared" ref="C38:I38" si="18">SUM(C36:C37)</f>
        <v>124146224</v>
      </c>
      <c r="D38" s="128">
        <f t="shared" si="18"/>
        <v>117370295</v>
      </c>
      <c r="E38" s="128">
        <f t="shared" si="18"/>
        <v>2435826789</v>
      </c>
      <c r="F38" s="128">
        <f t="shared" si="18"/>
        <v>2431523359</v>
      </c>
      <c r="G38" s="129">
        <f>SUM(G36:G37)</f>
        <v>839347107</v>
      </c>
      <c r="H38" s="129">
        <f t="shared" si="18"/>
        <v>398762</v>
      </c>
      <c r="I38" s="128">
        <f t="shared" si="18"/>
        <v>386981</v>
      </c>
      <c r="J38" s="129">
        <f t="shared" si="14"/>
        <v>19621</v>
      </c>
      <c r="K38" s="130">
        <f t="shared" si="9"/>
        <v>99.3</v>
      </c>
      <c r="L38" s="130">
        <f t="shared" si="12"/>
        <v>99</v>
      </c>
      <c r="M38" s="130">
        <f t="shared" si="12"/>
        <v>99.7</v>
      </c>
      <c r="N38" s="131">
        <f t="shared" si="10"/>
        <v>100.1</v>
      </c>
    </row>
    <row r="39" spans="1:14" ht="30" hidden="1" customHeight="1" x14ac:dyDescent="0.15">
      <c r="A39" s="142"/>
      <c r="B39" s="122" t="s">
        <v>82</v>
      </c>
      <c r="C39" s="123">
        <v>48312561</v>
      </c>
      <c r="D39" s="124">
        <v>48087692</v>
      </c>
      <c r="E39" s="124">
        <v>1949631120</v>
      </c>
      <c r="F39" s="124">
        <v>1947036008</v>
      </c>
      <c r="G39" s="124">
        <v>744238778</v>
      </c>
      <c r="H39" s="124">
        <v>307024</v>
      </c>
      <c r="I39" s="124">
        <v>302246</v>
      </c>
      <c r="J39" s="124">
        <f t="shared" si="14"/>
        <v>40355</v>
      </c>
      <c r="K39" s="143">
        <f t="shared" si="9"/>
        <v>100.5</v>
      </c>
      <c r="L39" s="143">
        <f t="shared" si="12"/>
        <v>98.1</v>
      </c>
      <c r="M39" s="143">
        <f t="shared" si="12"/>
        <v>98.3</v>
      </c>
      <c r="N39" s="144">
        <f t="shared" si="10"/>
        <v>100.5</v>
      </c>
    </row>
    <row r="40" spans="1:14" ht="30" hidden="1" customHeight="1" x14ac:dyDescent="0.15">
      <c r="A40" s="142" t="s">
        <v>10</v>
      </c>
      <c r="B40" s="122" t="s">
        <v>83</v>
      </c>
      <c r="C40" s="123">
        <v>75642990</v>
      </c>
      <c r="D40" s="124">
        <v>69108151</v>
      </c>
      <c r="E40" s="124">
        <v>429176971</v>
      </c>
      <c r="F40" s="124">
        <v>427676898</v>
      </c>
      <c r="G40" s="124">
        <v>86672894</v>
      </c>
      <c r="H40" s="124">
        <v>92671</v>
      </c>
      <c r="I40" s="124">
        <v>85628</v>
      </c>
      <c r="J40" s="124">
        <f t="shared" si="14"/>
        <v>5674</v>
      </c>
      <c r="K40" s="143">
        <f t="shared" si="9"/>
        <v>99.4</v>
      </c>
      <c r="L40" s="143">
        <f t="shared" si="12"/>
        <v>95.9</v>
      </c>
      <c r="M40" s="143">
        <f t="shared" si="12"/>
        <v>105.2</v>
      </c>
      <c r="N40" s="144">
        <f t="shared" si="10"/>
        <v>99.2</v>
      </c>
    </row>
    <row r="41" spans="1:14" ht="30" hidden="1" customHeight="1" x14ac:dyDescent="0.15">
      <c r="A41" s="145"/>
      <c r="B41" s="127" t="s">
        <v>29</v>
      </c>
      <c r="C41" s="128">
        <f t="shared" ref="C41:I41" si="19">SUM(C39:C40)</f>
        <v>123955551</v>
      </c>
      <c r="D41" s="128">
        <f t="shared" si="19"/>
        <v>117195843</v>
      </c>
      <c r="E41" s="128">
        <f t="shared" si="19"/>
        <v>2378808091</v>
      </c>
      <c r="F41" s="128">
        <f t="shared" si="19"/>
        <v>2374712906</v>
      </c>
      <c r="G41" s="129">
        <f t="shared" si="19"/>
        <v>830911672</v>
      </c>
      <c r="H41" s="129">
        <f t="shared" si="19"/>
        <v>399695</v>
      </c>
      <c r="I41" s="128">
        <f t="shared" si="19"/>
        <v>387874</v>
      </c>
      <c r="J41" s="129">
        <f t="shared" si="14"/>
        <v>19191</v>
      </c>
      <c r="K41" s="130">
        <f t="shared" si="9"/>
        <v>99.9</v>
      </c>
      <c r="L41" s="130">
        <f t="shared" ref="L41:M56" si="20">ROUND((F41/F38)*100,1)</f>
        <v>97.7</v>
      </c>
      <c r="M41" s="130">
        <f t="shared" si="20"/>
        <v>99</v>
      </c>
      <c r="N41" s="131">
        <f t="shared" si="10"/>
        <v>100.2</v>
      </c>
    </row>
    <row r="42" spans="1:14" ht="30" hidden="1" customHeight="1" x14ac:dyDescent="0.15">
      <c r="A42" s="142"/>
      <c r="B42" s="122" t="s">
        <v>82</v>
      </c>
      <c r="C42" s="123">
        <v>48575014</v>
      </c>
      <c r="D42" s="124">
        <v>48338591</v>
      </c>
      <c r="E42" s="124">
        <v>1900612172</v>
      </c>
      <c r="F42" s="124">
        <v>1897935657</v>
      </c>
      <c r="G42" s="124">
        <v>727975065</v>
      </c>
      <c r="H42" s="124">
        <v>308709</v>
      </c>
      <c r="I42" s="124">
        <v>303745</v>
      </c>
      <c r="J42" s="124">
        <f t="shared" si="14"/>
        <v>39127</v>
      </c>
      <c r="K42" s="143">
        <f t="shared" si="9"/>
        <v>100.5</v>
      </c>
      <c r="L42" s="143">
        <f t="shared" si="20"/>
        <v>97.5</v>
      </c>
      <c r="M42" s="143">
        <f t="shared" si="20"/>
        <v>97.8</v>
      </c>
      <c r="N42" s="144">
        <f t="shared" si="10"/>
        <v>100.5</v>
      </c>
    </row>
    <row r="43" spans="1:14" ht="30" hidden="1" customHeight="1" x14ac:dyDescent="0.15">
      <c r="A43" s="146" t="s">
        <v>11</v>
      </c>
      <c r="B43" s="122" t="s">
        <v>83</v>
      </c>
      <c r="C43" s="123">
        <v>75366119</v>
      </c>
      <c r="D43" s="123">
        <v>68815418</v>
      </c>
      <c r="E43" s="123">
        <v>406957990</v>
      </c>
      <c r="F43" s="123">
        <v>405641315</v>
      </c>
      <c r="G43" s="124">
        <v>90395667</v>
      </c>
      <c r="H43" s="124">
        <v>91888</v>
      </c>
      <c r="I43" s="124">
        <v>84877</v>
      </c>
      <c r="J43" s="124">
        <f t="shared" si="14"/>
        <v>5400</v>
      </c>
      <c r="K43" s="143">
        <f>ROUND((D43/D40)*100,1)</f>
        <v>99.6</v>
      </c>
      <c r="L43" s="143">
        <f t="shared" si="20"/>
        <v>94.8</v>
      </c>
      <c r="M43" s="143">
        <f t="shared" si="20"/>
        <v>104.3</v>
      </c>
      <c r="N43" s="144">
        <f t="shared" si="10"/>
        <v>99.1</v>
      </c>
    </row>
    <row r="44" spans="1:14" ht="30" hidden="1" customHeight="1" x14ac:dyDescent="0.15">
      <c r="A44" s="145"/>
      <c r="B44" s="127" t="s">
        <v>29</v>
      </c>
      <c r="C44" s="128">
        <v>123955551</v>
      </c>
      <c r="D44" s="128">
        <v>117195843</v>
      </c>
      <c r="E44" s="128">
        <v>2378808091</v>
      </c>
      <c r="F44" s="128">
        <v>2374712906</v>
      </c>
      <c r="G44" s="129">
        <v>830911672</v>
      </c>
      <c r="H44" s="129">
        <f>SUM(H42:H43)</f>
        <v>400597</v>
      </c>
      <c r="I44" s="128">
        <f>SUM(I42:I43)</f>
        <v>388622</v>
      </c>
      <c r="J44" s="129">
        <f t="shared" si="14"/>
        <v>19191</v>
      </c>
      <c r="K44" s="130">
        <f t="shared" si="9"/>
        <v>100</v>
      </c>
      <c r="L44" s="130">
        <f t="shared" si="20"/>
        <v>100</v>
      </c>
      <c r="M44" s="130">
        <f t="shared" si="20"/>
        <v>100</v>
      </c>
      <c r="N44" s="131">
        <f t="shared" si="10"/>
        <v>100.2</v>
      </c>
    </row>
    <row r="45" spans="1:14" ht="30" hidden="1" customHeight="1" x14ac:dyDescent="0.15">
      <c r="A45" s="142"/>
      <c r="B45" s="122" t="s">
        <v>82</v>
      </c>
      <c r="C45" s="123">
        <v>48895222</v>
      </c>
      <c r="D45" s="124">
        <v>48648101</v>
      </c>
      <c r="E45" s="124">
        <v>1859106461</v>
      </c>
      <c r="F45" s="124">
        <v>1856303902</v>
      </c>
      <c r="G45" s="124">
        <v>709349702</v>
      </c>
      <c r="H45" s="124">
        <v>310907</v>
      </c>
      <c r="I45" s="124">
        <v>305814</v>
      </c>
      <c r="J45" s="124">
        <f t="shared" si="14"/>
        <v>38022</v>
      </c>
      <c r="K45" s="143">
        <f t="shared" si="9"/>
        <v>100.6</v>
      </c>
      <c r="L45" s="143">
        <f t="shared" si="20"/>
        <v>97.8</v>
      </c>
      <c r="M45" s="143">
        <f t="shared" si="20"/>
        <v>97.4</v>
      </c>
      <c r="N45" s="144">
        <f t="shared" si="10"/>
        <v>100.7</v>
      </c>
    </row>
    <row r="46" spans="1:14" ht="30" hidden="1" customHeight="1" x14ac:dyDescent="0.15">
      <c r="A46" s="142" t="s">
        <v>89</v>
      </c>
      <c r="B46" s="122" t="s">
        <v>83</v>
      </c>
      <c r="C46" s="123">
        <v>74887925</v>
      </c>
      <c r="D46" s="123">
        <v>68341391</v>
      </c>
      <c r="E46" s="123">
        <v>385451866</v>
      </c>
      <c r="F46" s="123">
        <v>384301983</v>
      </c>
      <c r="G46" s="123">
        <v>93923107</v>
      </c>
      <c r="H46" s="124">
        <v>91038</v>
      </c>
      <c r="I46" s="124">
        <v>84080</v>
      </c>
      <c r="J46" s="124">
        <f t="shared" si="14"/>
        <v>5147</v>
      </c>
      <c r="K46" s="143">
        <f t="shared" si="9"/>
        <v>99.3</v>
      </c>
      <c r="L46" s="143">
        <f t="shared" si="20"/>
        <v>94.7</v>
      </c>
      <c r="M46" s="143">
        <f t="shared" si="20"/>
        <v>103.9</v>
      </c>
      <c r="N46" s="144">
        <f t="shared" si="10"/>
        <v>99.1</v>
      </c>
    </row>
    <row r="47" spans="1:14" ht="30" hidden="1" customHeight="1" x14ac:dyDescent="0.15">
      <c r="A47" s="145"/>
      <c r="B47" s="127" t="s">
        <v>29</v>
      </c>
      <c r="C47" s="129">
        <f t="shared" ref="C47:I47" si="21">SUM(C45:C46)</f>
        <v>123783147</v>
      </c>
      <c r="D47" s="129">
        <f t="shared" si="21"/>
        <v>116989492</v>
      </c>
      <c r="E47" s="129">
        <f t="shared" si="21"/>
        <v>2244558327</v>
      </c>
      <c r="F47" s="129">
        <f t="shared" si="21"/>
        <v>2240605885</v>
      </c>
      <c r="G47" s="129">
        <f t="shared" si="21"/>
        <v>803272809</v>
      </c>
      <c r="H47" s="129">
        <f t="shared" si="21"/>
        <v>401945</v>
      </c>
      <c r="I47" s="129">
        <f t="shared" si="21"/>
        <v>389894</v>
      </c>
      <c r="J47" s="129">
        <f t="shared" si="14"/>
        <v>18133</v>
      </c>
      <c r="K47" s="130">
        <f t="shared" si="9"/>
        <v>99.8</v>
      </c>
      <c r="L47" s="130">
        <f t="shared" si="20"/>
        <v>94.4</v>
      </c>
      <c r="M47" s="130">
        <f t="shared" si="20"/>
        <v>96.7</v>
      </c>
      <c r="N47" s="131">
        <f t="shared" si="10"/>
        <v>100.3</v>
      </c>
    </row>
    <row r="48" spans="1:14" ht="30" hidden="1" customHeight="1" x14ac:dyDescent="0.15">
      <c r="A48" s="142"/>
      <c r="B48" s="122" t="s">
        <v>90</v>
      </c>
      <c r="C48" s="123">
        <v>49164098</v>
      </c>
      <c r="D48" s="124">
        <v>48900877</v>
      </c>
      <c r="E48" s="124">
        <v>1824147415</v>
      </c>
      <c r="F48" s="124">
        <v>1821200559</v>
      </c>
      <c r="G48" s="124">
        <v>695217172</v>
      </c>
      <c r="H48" s="124">
        <v>313361</v>
      </c>
      <c r="I48" s="124">
        <v>308056</v>
      </c>
      <c r="J48" s="124">
        <f t="shared" si="14"/>
        <v>37103</v>
      </c>
      <c r="K48" s="125">
        <f t="shared" si="9"/>
        <v>100.5</v>
      </c>
      <c r="L48" s="125">
        <f t="shared" si="20"/>
        <v>98.1</v>
      </c>
      <c r="M48" s="125">
        <f t="shared" si="20"/>
        <v>98</v>
      </c>
      <c r="N48" s="126">
        <f t="shared" si="10"/>
        <v>100.7</v>
      </c>
    </row>
    <row r="49" spans="1:14" ht="30" hidden="1" customHeight="1" x14ac:dyDescent="0.15">
      <c r="A49" s="142" t="s">
        <v>91</v>
      </c>
      <c r="B49" s="147" t="s">
        <v>92</v>
      </c>
      <c r="C49" s="148">
        <v>74676862</v>
      </c>
      <c r="D49" s="149">
        <v>68149428</v>
      </c>
      <c r="E49" s="149">
        <v>366660864</v>
      </c>
      <c r="F49" s="149">
        <v>365685224</v>
      </c>
      <c r="G49" s="149">
        <v>96225062</v>
      </c>
      <c r="H49" s="149">
        <v>90381</v>
      </c>
      <c r="I49" s="149">
        <v>83460</v>
      </c>
      <c r="J49" s="149">
        <f t="shared" si="14"/>
        <v>4910</v>
      </c>
      <c r="K49" s="150">
        <f t="shared" si="9"/>
        <v>99.7</v>
      </c>
      <c r="L49" s="150">
        <f t="shared" si="20"/>
        <v>95.2</v>
      </c>
      <c r="M49" s="150">
        <f t="shared" si="20"/>
        <v>102.5</v>
      </c>
      <c r="N49" s="151">
        <f t="shared" si="10"/>
        <v>99.3</v>
      </c>
    </row>
    <row r="50" spans="1:14" ht="30" hidden="1" customHeight="1" x14ac:dyDescent="0.15">
      <c r="A50" s="145"/>
      <c r="B50" s="147" t="s">
        <v>93</v>
      </c>
      <c r="C50" s="148">
        <f t="shared" ref="C50:I50" si="22">SUM(C48:C49)</f>
        <v>123840960</v>
      </c>
      <c r="D50" s="149">
        <f t="shared" si="22"/>
        <v>117050305</v>
      </c>
      <c r="E50" s="149">
        <f t="shared" si="22"/>
        <v>2190808279</v>
      </c>
      <c r="F50" s="149">
        <f t="shared" si="22"/>
        <v>2186885783</v>
      </c>
      <c r="G50" s="149">
        <f t="shared" si="22"/>
        <v>791442234</v>
      </c>
      <c r="H50" s="149">
        <f t="shared" si="22"/>
        <v>403742</v>
      </c>
      <c r="I50" s="149">
        <f t="shared" si="22"/>
        <v>391516</v>
      </c>
      <c r="J50" s="149">
        <f t="shared" si="14"/>
        <v>17690</v>
      </c>
      <c r="K50" s="150">
        <f t="shared" si="9"/>
        <v>100.1</v>
      </c>
      <c r="L50" s="150">
        <f t="shared" si="20"/>
        <v>97.6</v>
      </c>
      <c r="M50" s="150">
        <f t="shared" si="20"/>
        <v>98.5</v>
      </c>
      <c r="N50" s="151">
        <f t="shared" si="10"/>
        <v>100.4</v>
      </c>
    </row>
    <row r="51" spans="1:14" ht="30" hidden="1" customHeight="1" x14ac:dyDescent="0.15">
      <c r="A51" s="142"/>
      <c r="B51" s="122" t="s">
        <v>90</v>
      </c>
      <c r="C51" s="123">
        <v>49599644</v>
      </c>
      <c r="D51" s="124">
        <v>49325917</v>
      </c>
      <c r="E51" s="124">
        <v>1816342689</v>
      </c>
      <c r="F51" s="124">
        <v>1813330262</v>
      </c>
      <c r="G51" s="124">
        <v>691647670</v>
      </c>
      <c r="H51" s="124">
        <v>304936</v>
      </c>
      <c r="I51" s="124">
        <v>299521</v>
      </c>
      <c r="J51" s="124">
        <f t="shared" si="14"/>
        <v>36620</v>
      </c>
      <c r="K51" s="125">
        <f t="shared" si="9"/>
        <v>100.9</v>
      </c>
      <c r="L51" s="125">
        <f t="shared" si="20"/>
        <v>99.6</v>
      </c>
      <c r="M51" s="125">
        <f t="shared" si="20"/>
        <v>99.5</v>
      </c>
      <c r="N51" s="126">
        <f t="shared" si="10"/>
        <v>97.2</v>
      </c>
    </row>
    <row r="52" spans="1:14" ht="30" hidden="1" customHeight="1" x14ac:dyDescent="0.15">
      <c r="A52" s="142" t="s">
        <v>14</v>
      </c>
      <c r="B52" s="147" t="s">
        <v>92</v>
      </c>
      <c r="C52" s="148">
        <v>74211820</v>
      </c>
      <c r="D52" s="149">
        <v>67713518</v>
      </c>
      <c r="E52" s="149">
        <v>349301433</v>
      </c>
      <c r="F52" s="149">
        <v>348491006</v>
      </c>
      <c r="G52" s="149">
        <v>97533176</v>
      </c>
      <c r="H52" s="149">
        <v>89403</v>
      </c>
      <c r="I52" s="149">
        <v>82504</v>
      </c>
      <c r="J52" s="149">
        <f t="shared" si="14"/>
        <v>4707</v>
      </c>
      <c r="K52" s="150">
        <f t="shared" si="9"/>
        <v>99.4</v>
      </c>
      <c r="L52" s="150">
        <f t="shared" si="20"/>
        <v>95.3</v>
      </c>
      <c r="M52" s="150">
        <f t="shared" si="20"/>
        <v>101.4</v>
      </c>
      <c r="N52" s="151">
        <f t="shared" si="10"/>
        <v>98.9</v>
      </c>
    </row>
    <row r="53" spans="1:14" ht="30" hidden="1" customHeight="1" x14ac:dyDescent="0.15">
      <c r="A53" s="145"/>
      <c r="B53" s="147" t="s">
        <v>93</v>
      </c>
      <c r="C53" s="148">
        <f t="shared" ref="C53:I53" si="23">SUM(C51:C52)</f>
        <v>123811464</v>
      </c>
      <c r="D53" s="149">
        <f t="shared" si="23"/>
        <v>117039435</v>
      </c>
      <c r="E53" s="149">
        <f t="shared" si="23"/>
        <v>2165644122</v>
      </c>
      <c r="F53" s="149">
        <f t="shared" si="23"/>
        <v>2161821268</v>
      </c>
      <c r="G53" s="149">
        <f t="shared" si="23"/>
        <v>789180846</v>
      </c>
      <c r="H53" s="149">
        <f t="shared" si="23"/>
        <v>394339</v>
      </c>
      <c r="I53" s="149">
        <f t="shared" si="23"/>
        <v>382025</v>
      </c>
      <c r="J53" s="149">
        <f t="shared" si="14"/>
        <v>17491</v>
      </c>
      <c r="K53" s="150">
        <f t="shared" si="9"/>
        <v>100</v>
      </c>
      <c r="L53" s="150">
        <f t="shared" si="20"/>
        <v>98.9</v>
      </c>
      <c r="M53" s="150">
        <f t="shared" si="20"/>
        <v>99.7</v>
      </c>
      <c r="N53" s="151">
        <f t="shared" si="10"/>
        <v>97.6</v>
      </c>
    </row>
    <row r="54" spans="1:14" ht="30" hidden="1" customHeight="1" x14ac:dyDescent="0.15">
      <c r="A54" s="142"/>
      <c r="B54" s="122" t="s">
        <v>90</v>
      </c>
      <c r="C54" s="123">
        <v>50019907</v>
      </c>
      <c r="D54" s="124">
        <v>49724647</v>
      </c>
      <c r="E54" s="124">
        <v>1805415342</v>
      </c>
      <c r="F54" s="124">
        <v>1802197476</v>
      </c>
      <c r="G54" s="124">
        <v>685200476</v>
      </c>
      <c r="H54" s="124">
        <v>307523</v>
      </c>
      <c r="I54" s="124">
        <v>301842</v>
      </c>
      <c r="J54" s="124">
        <f t="shared" si="14"/>
        <v>36094</v>
      </c>
      <c r="K54" s="125">
        <f t="shared" si="9"/>
        <v>100.8</v>
      </c>
      <c r="L54" s="125">
        <f t="shared" si="20"/>
        <v>99.4</v>
      </c>
      <c r="M54" s="125">
        <f t="shared" si="20"/>
        <v>99.1</v>
      </c>
      <c r="N54" s="126">
        <f t="shared" si="10"/>
        <v>100.8</v>
      </c>
    </row>
    <row r="55" spans="1:14" ht="30" hidden="1" customHeight="1" x14ac:dyDescent="0.15">
      <c r="A55" s="142" t="s">
        <v>15</v>
      </c>
      <c r="B55" s="147" t="s">
        <v>92</v>
      </c>
      <c r="C55" s="148">
        <v>73616278</v>
      </c>
      <c r="D55" s="149">
        <v>67176322</v>
      </c>
      <c r="E55" s="149">
        <v>328925621</v>
      </c>
      <c r="F55" s="149">
        <v>328216733</v>
      </c>
      <c r="G55" s="149">
        <v>97000707</v>
      </c>
      <c r="H55" s="149">
        <v>88493</v>
      </c>
      <c r="I55" s="149">
        <v>81631</v>
      </c>
      <c r="J55" s="149">
        <f t="shared" si="14"/>
        <v>4468</v>
      </c>
      <c r="K55" s="150">
        <f t="shared" si="9"/>
        <v>99.2</v>
      </c>
      <c r="L55" s="150">
        <f t="shared" si="20"/>
        <v>94.2</v>
      </c>
      <c r="M55" s="150">
        <f t="shared" si="20"/>
        <v>99.5</v>
      </c>
      <c r="N55" s="151">
        <f t="shared" si="10"/>
        <v>98.9</v>
      </c>
    </row>
    <row r="56" spans="1:14" ht="30" hidden="1" customHeight="1" x14ac:dyDescent="0.15">
      <c r="A56" s="145"/>
      <c r="B56" s="147" t="s">
        <v>93</v>
      </c>
      <c r="C56" s="148">
        <f t="shared" ref="C56:I56" si="24">SUM(C54:C55)</f>
        <v>123636185</v>
      </c>
      <c r="D56" s="149">
        <f t="shared" si="24"/>
        <v>116900969</v>
      </c>
      <c r="E56" s="149">
        <f t="shared" si="24"/>
        <v>2134340963</v>
      </c>
      <c r="F56" s="149">
        <f t="shared" si="24"/>
        <v>2130414209</v>
      </c>
      <c r="G56" s="149">
        <f t="shared" si="24"/>
        <v>782201183</v>
      </c>
      <c r="H56" s="149">
        <f t="shared" si="24"/>
        <v>396016</v>
      </c>
      <c r="I56" s="149">
        <f t="shared" si="24"/>
        <v>383473</v>
      </c>
      <c r="J56" s="149">
        <f t="shared" si="14"/>
        <v>17263</v>
      </c>
      <c r="K56" s="150">
        <f t="shared" si="9"/>
        <v>99.9</v>
      </c>
      <c r="L56" s="150">
        <f t="shared" si="20"/>
        <v>98.5</v>
      </c>
      <c r="M56" s="150">
        <f t="shared" si="20"/>
        <v>99.1</v>
      </c>
      <c r="N56" s="151">
        <f t="shared" si="10"/>
        <v>100.4</v>
      </c>
    </row>
    <row r="57" spans="1:14" ht="30" hidden="1" customHeight="1" x14ac:dyDescent="0.15">
      <c r="A57" s="142"/>
      <c r="B57" s="122" t="s">
        <v>90</v>
      </c>
      <c r="C57" s="123">
        <v>50426778</v>
      </c>
      <c r="D57" s="124">
        <v>50121877</v>
      </c>
      <c r="E57" s="124">
        <v>1803787154</v>
      </c>
      <c r="F57" s="124">
        <v>1800498660</v>
      </c>
      <c r="G57" s="124">
        <v>684883961</v>
      </c>
      <c r="H57" s="124">
        <v>309730</v>
      </c>
      <c r="I57" s="124">
        <v>303933</v>
      </c>
      <c r="J57" s="124">
        <f t="shared" si="14"/>
        <v>35770</v>
      </c>
      <c r="K57" s="125">
        <f t="shared" si="9"/>
        <v>100.8</v>
      </c>
      <c r="L57" s="125">
        <f t="shared" ref="L57:M72" si="25">ROUND((F57/F54)*100,1)</f>
        <v>99.9</v>
      </c>
      <c r="M57" s="125">
        <f t="shared" si="25"/>
        <v>100</v>
      </c>
      <c r="N57" s="126">
        <f t="shared" si="10"/>
        <v>100.7</v>
      </c>
    </row>
    <row r="58" spans="1:14" ht="30" hidden="1" customHeight="1" x14ac:dyDescent="0.15">
      <c r="A58" s="142" t="s">
        <v>16</v>
      </c>
      <c r="B58" s="147" t="s">
        <v>92</v>
      </c>
      <c r="C58" s="148">
        <v>73072240</v>
      </c>
      <c r="D58" s="149">
        <v>66637751</v>
      </c>
      <c r="E58" s="149">
        <v>314770229</v>
      </c>
      <c r="F58" s="149">
        <v>314141639</v>
      </c>
      <c r="G58" s="149">
        <v>96401815</v>
      </c>
      <c r="H58" s="149">
        <v>87584</v>
      </c>
      <c r="I58" s="149">
        <v>80735</v>
      </c>
      <c r="J58" s="149">
        <f t="shared" si="14"/>
        <v>4308</v>
      </c>
      <c r="K58" s="150">
        <f t="shared" si="9"/>
        <v>99.2</v>
      </c>
      <c r="L58" s="150">
        <f t="shared" si="25"/>
        <v>95.7</v>
      </c>
      <c r="M58" s="150">
        <f t="shared" si="25"/>
        <v>99.4</v>
      </c>
      <c r="N58" s="151">
        <f t="shared" si="10"/>
        <v>98.9</v>
      </c>
    </row>
    <row r="59" spans="1:14" ht="30" hidden="1" customHeight="1" x14ac:dyDescent="0.15">
      <c r="A59" s="145"/>
      <c r="B59" s="147" t="s">
        <v>93</v>
      </c>
      <c r="C59" s="148">
        <f t="shared" ref="C59:I59" si="26">SUM(C57:C58)</f>
        <v>123499018</v>
      </c>
      <c r="D59" s="149">
        <f>SUM(D57:D58)</f>
        <v>116759628</v>
      </c>
      <c r="E59" s="149">
        <f t="shared" si="26"/>
        <v>2118557383</v>
      </c>
      <c r="F59" s="149">
        <f t="shared" si="26"/>
        <v>2114640299</v>
      </c>
      <c r="G59" s="149">
        <f t="shared" si="26"/>
        <v>781285776</v>
      </c>
      <c r="H59" s="149">
        <f t="shared" si="26"/>
        <v>397314</v>
      </c>
      <c r="I59" s="149">
        <f t="shared" si="26"/>
        <v>384668</v>
      </c>
      <c r="J59" s="149">
        <f t="shared" si="14"/>
        <v>17154</v>
      </c>
      <c r="K59" s="150">
        <f t="shared" si="9"/>
        <v>99.9</v>
      </c>
      <c r="L59" s="150">
        <f t="shared" si="25"/>
        <v>99.3</v>
      </c>
      <c r="M59" s="150">
        <f t="shared" si="25"/>
        <v>99.9</v>
      </c>
      <c r="N59" s="151">
        <f t="shared" si="10"/>
        <v>100.3</v>
      </c>
    </row>
    <row r="60" spans="1:14" ht="30" hidden="1" customHeight="1" x14ac:dyDescent="0.15">
      <c r="A60" s="142"/>
      <c r="B60" s="122" t="s">
        <v>90</v>
      </c>
      <c r="C60" s="123">
        <v>50778134</v>
      </c>
      <c r="D60" s="124">
        <v>50465622</v>
      </c>
      <c r="E60" s="124">
        <v>1804598618</v>
      </c>
      <c r="F60" s="124">
        <v>1801270331</v>
      </c>
      <c r="G60" s="124">
        <v>684335073</v>
      </c>
      <c r="H60" s="124">
        <v>312083</v>
      </c>
      <c r="I60" s="124">
        <v>306220</v>
      </c>
      <c r="J60" s="124">
        <f t="shared" si="14"/>
        <v>35539</v>
      </c>
      <c r="K60" s="125">
        <f t="shared" si="9"/>
        <v>100.7</v>
      </c>
      <c r="L60" s="125">
        <f t="shared" si="25"/>
        <v>100</v>
      </c>
      <c r="M60" s="125">
        <f t="shared" si="25"/>
        <v>99.9</v>
      </c>
      <c r="N60" s="126">
        <f t="shared" si="10"/>
        <v>100.8</v>
      </c>
    </row>
    <row r="61" spans="1:14" ht="30" hidden="1" customHeight="1" x14ac:dyDescent="0.15">
      <c r="A61" s="142" t="s">
        <v>17</v>
      </c>
      <c r="B61" s="147" t="s">
        <v>92</v>
      </c>
      <c r="C61" s="148">
        <v>72690581</v>
      </c>
      <c r="D61" s="149">
        <v>66324507</v>
      </c>
      <c r="E61" s="149">
        <v>301746820</v>
      </c>
      <c r="F61" s="149">
        <v>301177333</v>
      </c>
      <c r="G61" s="149">
        <v>95503673</v>
      </c>
      <c r="H61" s="149">
        <v>86750</v>
      </c>
      <c r="I61" s="149">
        <v>79998</v>
      </c>
      <c r="J61" s="149">
        <f t="shared" si="14"/>
        <v>4151</v>
      </c>
      <c r="K61" s="150">
        <f t="shared" si="9"/>
        <v>99.5</v>
      </c>
      <c r="L61" s="150">
        <f t="shared" si="25"/>
        <v>95.9</v>
      </c>
      <c r="M61" s="150">
        <f t="shared" si="25"/>
        <v>99.1</v>
      </c>
      <c r="N61" s="151">
        <f t="shared" si="10"/>
        <v>99.1</v>
      </c>
    </row>
    <row r="62" spans="1:14" ht="30" hidden="1" customHeight="1" x14ac:dyDescent="0.15">
      <c r="A62" s="145"/>
      <c r="B62" s="147" t="s">
        <v>93</v>
      </c>
      <c r="C62" s="148">
        <f t="shared" ref="C62:I62" si="27">SUM(C60:C61)</f>
        <v>123468715</v>
      </c>
      <c r="D62" s="149">
        <f t="shared" si="27"/>
        <v>116790129</v>
      </c>
      <c r="E62" s="149">
        <f t="shared" si="27"/>
        <v>2106345438</v>
      </c>
      <c r="F62" s="149">
        <f t="shared" si="27"/>
        <v>2102447664</v>
      </c>
      <c r="G62" s="149">
        <f t="shared" si="27"/>
        <v>779838746</v>
      </c>
      <c r="H62" s="149">
        <f t="shared" si="27"/>
        <v>398833</v>
      </c>
      <c r="I62" s="149">
        <f t="shared" si="27"/>
        <v>386218</v>
      </c>
      <c r="J62" s="149">
        <f t="shared" si="14"/>
        <v>17060</v>
      </c>
      <c r="K62" s="150">
        <f t="shared" si="9"/>
        <v>100</v>
      </c>
      <c r="L62" s="150">
        <f t="shared" si="25"/>
        <v>99.4</v>
      </c>
      <c r="M62" s="150">
        <f t="shared" si="25"/>
        <v>99.8</v>
      </c>
      <c r="N62" s="151">
        <f t="shared" si="10"/>
        <v>100.4</v>
      </c>
    </row>
    <row r="63" spans="1:14" ht="30" hidden="1" customHeight="1" x14ac:dyDescent="0.15">
      <c r="A63" s="142"/>
      <c r="B63" s="122" t="s">
        <v>90</v>
      </c>
      <c r="C63" s="123">
        <v>51251873</v>
      </c>
      <c r="D63" s="124">
        <v>50886527</v>
      </c>
      <c r="E63" s="124">
        <v>1808280879</v>
      </c>
      <c r="F63" s="124">
        <v>1804546112</v>
      </c>
      <c r="G63" s="124">
        <v>683663477</v>
      </c>
      <c r="H63" s="124">
        <v>314557</v>
      </c>
      <c r="I63" s="124">
        <v>308205</v>
      </c>
      <c r="J63" s="124">
        <f t="shared" si="14"/>
        <v>35282</v>
      </c>
      <c r="K63" s="125">
        <f t="shared" si="9"/>
        <v>100.8</v>
      </c>
      <c r="L63" s="125">
        <f t="shared" si="25"/>
        <v>100.2</v>
      </c>
      <c r="M63" s="125">
        <f t="shared" si="25"/>
        <v>99.9</v>
      </c>
      <c r="N63" s="126">
        <f t="shared" si="10"/>
        <v>100.6</v>
      </c>
    </row>
    <row r="64" spans="1:14" ht="30" hidden="1" customHeight="1" x14ac:dyDescent="0.15">
      <c r="A64" s="142" t="s">
        <v>18</v>
      </c>
      <c r="B64" s="147" t="s">
        <v>92</v>
      </c>
      <c r="C64" s="148">
        <v>72268654</v>
      </c>
      <c r="D64" s="149">
        <v>65956399</v>
      </c>
      <c r="E64" s="149">
        <v>284462158</v>
      </c>
      <c r="F64" s="149">
        <v>283945972</v>
      </c>
      <c r="G64" s="149">
        <v>92493692</v>
      </c>
      <c r="H64" s="149">
        <v>85820</v>
      </c>
      <c r="I64" s="149">
        <v>79080</v>
      </c>
      <c r="J64" s="149">
        <f t="shared" si="14"/>
        <v>3936</v>
      </c>
      <c r="K64" s="150">
        <f t="shared" si="9"/>
        <v>99.4</v>
      </c>
      <c r="L64" s="150">
        <f t="shared" si="25"/>
        <v>94.3</v>
      </c>
      <c r="M64" s="150">
        <f t="shared" si="25"/>
        <v>96.8</v>
      </c>
      <c r="N64" s="151">
        <f t="shared" si="10"/>
        <v>98.9</v>
      </c>
    </row>
    <row r="65" spans="1:14" ht="30" hidden="1" customHeight="1" x14ac:dyDescent="0.15">
      <c r="A65" s="145"/>
      <c r="B65" s="147" t="s">
        <v>93</v>
      </c>
      <c r="C65" s="148">
        <f t="shared" ref="C65:I65" si="28">SUM(C63:C64)</f>
        <v>123520527</v>
      </c>
      <c r="D65" s="149">
        <f t="shared" si="28"/>
        <v>116842926</v>
      </c>
      <c r="E65" s="149">
        <f t="shared" si="28"/>
        <v>2092743037</v>
      </c>
      <c r="F65" s="149">
        <f t="shared" si="28"/>
        <v>2088492084</v>
      </c>
      <c r="G65" s="149">
        <f t="shared" si="28"/>
        <v>776157169</v>
      </c>
      <c r="H65" s="149">
        <f t="shared" si="28"/>
        <v>400377</v>
      </c>
      <c r="I65" s="149">
        <f t="shared" si="28"/>
        <v>387285</v>
      </c>
      <c r="J65" s="149">
        <f t="shared" si="14"/>
        <v>16942</v>
      </c>
      <c r="K65" s="150">
        <f t="shared" si="9"/>
        <v>100</v>
      </c>
      <c r="L65" s="150">
        <f>ROUND((F65/F62)*100,1)</f>
        <v>99.3</v>
      </c>
      <c r="M65" s="150">
        <f t="shared" si="25"/>
        <v>99.5</v>
      </c>
      <c r="N65" s="151">
        <f t="shared" si="10"/>
        <v>100.3</v>
      </c>
    </row>
    <row r="66" spans="1:14" ht="30" customHeight="1" x14ac:dyDescent="0.15">
      <c r="A66" s="142"/>
      <c r="B66" s="122" t="s">
        <v>90</v>
      </c>
      <c r="C66" s="123">
        <v>51632514</v>
      </c>
      <c r="D66" s="124">
        <v>51250551</v>
      </c>
      <c r="E66" s="124">
        <v>1812200900</v>
      </c>
      <c r="F66" s="124">
        <v>1808348046</v>
      </c>
      <c r="G66" s="124">
        <v>684686319</v>
      </c>
      <c r="H66" s="124">
        <v>317060</v>
      </c>
      <c r="I66" s="124">
        <v>310548</v>
      </c>
      <c r="J66" s="124">
        <f t="shared" si="14"/>
        <v>35098</v>
      </c>
      <c r="K66" s="125">
        <f t="shared" si="9"/>
        <v>100.7</v>
      </c>
      <c r="L66" s="125">
        <f t="shared" si="25"/>
        <v>100.2</v>
      </c>
      <c r="M66" s="125">
        <f t="shared" si="25"/>
        <v>100.1</v>
      </c>
      <c r="N66" s="126">
        <f t="shared" si="10"/>
        <v>100.8</v>
      </c>
    </row>
    <row r="67" spans="1:14" ht="30" customHeight="1" x14ac:dyDescent="0.15">
      <c r="A67" s="142" t="s">
        <v>19</v>
      </c>
      <c r="B67" s="147" t="s">
        <v>92</v>
      </c>
      <c r="C67" s="148">
        <v>71823289</v>
      </c>
      <c r="D67" s="149">
        <v>65547068</v>
      </c>
      <c r="E67" s="149">
        <v>272125428</v>
      </c>
      <c r="F67" s="149">
        <v>271644290</v>
      </c>
      <c r="G67" s="149">
        <v>90188582</v>
      </c>
      <c r="H67" s="149">
        <v>84925</v>
      </c>
      <c r="I67" s="149">
        <v>78222</v>
      </c>
      <c r="J67" s="149">
        <f t="shared" si="14"/>
        <v>3789</v>
      </c>
      <c r="K67" s="150">
        <f t="shared" si="9"/>
        <v>99.4</v>
      </c>
      <c r="L67" s="150">
        <f t="shared" si="25"/>
        <v>95.7</v>
      </c>
      <c r="M67" s="150">
        <f t="shared" si="25"/>
        <v>97.5</v>
      </c>
      <c r="N67" s="151">
        <f t="shared" si="10"/>
        <v>98.9</v>
      </c>
    </row>
    <row r="68" spans="1:14" ht="30" customHeight="1" x14ac:dyDescent="0.15">
      <c r="A68" s="145"/>
      <c r="B68" s="147" t="s">
        <v>93</v>
      </c>
      <c r="C68" s="148">
        <f t="shared" ref="C68:H68" si="29">SUM(C66:C67)</f>
        <v>123455803</v>
      </c>
      <c r="D68" s="149">
        <f t="shared" si="29"/>
        <v>116797619</v>
      </c>
      <c r="E68" s="149">
        <f t="shared" si="29"/>
        <v>2084326328</v>
      </c>
      <c r="F68" s="149">
        <f t="shared" si="29"/>
        <v>2079992336</v>
      </c>
      <c r="G68" s="149">
        <f t="shared" si="29"/>
        <v>774874901</v>
      </c>
      <c r="H68" s="149">
        <f t="shared" si="29"/>
        <v>401985</v>
      </c>
      <c r="I68" s="149">
        <f>SUM(I66:I67)</f>
        <v>388770</v>
      </c>
      <c r="J68" s="149">
        <f t="shared" si="14"/>
        <v>16883</v>
      </c>
      <c r="K68" s="150">
        <f t="shared" si="9"/>
        <v>100</v>
      </c>
      <c r="L68" s="150">
        <f t="shared" si="25"/>
        <v>99.6</v>
      </c>
      <c r="M68" s="150">
        <f t="shared" si="25"/>
        <v>99.8</v>
      </c>
      <c r="N68" s="151">
        <f t="shared" si="10"/>
        <v>100.4</v>
      </c>
    </row>
    <row r="69" spans="1:14" ht="30" customHeight="1" x14ac:dyDescent="0.15">
      <c r="A69" s="142"/>
      <c r="B69" s="122" t="s">
        <v>90</v>
      </c>
      <c r="C69" s="123">
        <v>52022142</v>
      </c>
      <c r="D69" s="124">
        <v>51629367</v>
      </c>
      <c r="E69" s="124">
        <v>1817263636</v>
      </c>
      <c r="F69" s="124">
        <v>1813348738</v>
      </c>
      <c r="G69" s="124">
        <v>686673712</v>
      </c>
      <c r="H69" s="124">
        <v>318572</v>
      </c>
      <c r="I69" s="124">
        <v>311953</v>
      </c>
      <c r="J69" s="124">
        <f t="shared" si="14"/>
        <v>34933</v>
      </c>
      <c r="K69" s="125">
        <f t="shared" si="9"/>
        <v>100.7</v>
      </c>
      <c r="L69" s="125">
        <f t="shared" si="25"/>
        <v>100.3</v>
      </c>
      <c r="M69" s="125">
        <f t="shared" si="25"/>
        <v>100.3</v>
      </c>
      <c r="N69" s="126">
        <f t="shared" si="10"/>
        <v>100.5</v>
      </c>
    </row>
    <row r="70" spans="1:14" ht="30" customHeight="1" x14ac:dyDescent="0.15">
      <c r="A70" s="142" t="s">
        <v>20</v>
      </c>
      <c r="B70" s="147" t="s">
        <v>92</v>
      </c>
      <c r="C70" s="148">
        <v>71440595</v>
      </c>
      <c r="D70" s="149">
        <v>65186600</v>
      </c>
      <c r="E70" s="149">
        <v>259754337</v>
      </c>
      <c r="F70" s="149">
        <v>259302244</v>
      </c>
      <c r="G70" s="149">
        <v>87507374</v>
      </c>
      <c r="H70" s="149">
        <v>83958</v>
      </c>
      <c r="I70" s="149">
        <v>77302</v>
      </c>
      <c r="J70" s="149">
        <f t="shared" si="14"/>
        <v>3636</v>
      </c>
      <c r="K70" s="150">
        <f t="shared" si="9"/>
        <v>99.5</v>
      </c>
      <c r="L70" s="150">
        <f t="shared" si="25"/>
        <v>95.5</v>
      </c>
      <c r="M70" s="150">
        <f t="shared" si="25"/>
        <v>97</v>
      </c>
      <c r="N70" s="151">
        <f t="shared" si="10"/>
        <v>98.8</v>
      </c>
    </row>
    <row r="71" spans="1:14" ht="30" customHeight="1" x14ac:dyDescent="0.15">
      <c r="A71" s="145"/>
      <c r="B71" s="147" t="s">
        <v>93</v>
      </c>
      <c r="C71" s="148">
        <f t="shared" ref="C71:H71" si="30">SUM(C69:C70)</f>
        <v>123462737</v>
      </c>
      <c r="D71" s="149">
        <f t="shared" si="30"/>
        <v>116815967</v>
      </c>
      <c r="E71" s="149">
        <f t="shared" si="30"/>
        <v>2077017973</v>
      </c>
      <c r="F71" s="149">
        <f t="shared" si="30"/>
        <v>2072650982</v>
      </c>
      <c r="G71" s="149">
        <f t="shared" si="30"/>
        <v>774181086</v>
      </c>
      <c r="H71" s="149">
        <f t="shared" si="30"/>
        <v>402530</v>
      </c>
      <c r="I71" s="149">
        <f>SUM(I69:I70)</f>
        <v>389255</v>
      </c>
      <c r="J71" s="149">
        <f t="shared" si="14"/>
        <v>16823</v>
      </c>
      <c r="K71" s="150">
        <f t="shared" si="9"/>
        <v>100</v>
      </c>
      <c r="L71" s="150">
        <f t="shared" si="25"/>
        <v>99.6</v>
      </c>
      <c r="M71" s="150">
        <f t="shared" si="25"/>
        <v>99.9</v>
      </c>
      <c r="N71" s="151">
        <f t="shared" si="10"/>
        <v>100.1</v>
      </c>
    </row>
    <row r="72" spans="1:14" ht="30" customHeight="1" x14ac:dyDescent="0.15">
      <c r="A72" s="142"/>
      <c r="B72" s="122" t="s">
        <v>90</v>
      </c>
      <c r="C72" s="123">
        <v>52390488</v>
      </c>
      <c r="D72" s="124">
        <v>51977190</v>
      </c>
      <c r="E72" s="124">
        <v>1798235804</v>
      </c>
      <c r="F72" s="124">
        <v>1794158248</v>
      </c>
      <c r="G72" s="124">
        <v>677166332</v>
      </c>
      <c r="H72" s="124">
        <v>320769</v>
      </c>
      <c r="I72" s="124">
        <v>313921</v>
      </c>
      <c r="J72" s="124">
        <f t="shared" si="14"/>
        <v>34324</v>
      </c>
      <c r="K72" s="125">
        <f t="shared" si="9"/>
        <v>100.7</v>
      </c>
      <c r="L72" s="125">
        <f t="shared" si="25"/>
        <v>98.9</v>
      </c>
      <c r="M72" s="125">
        <f t="shared" si="25"/>
        <v>98.6</v>
      </c>
      <c r="N72" s="126">
        <f t="shared" si="10"/>
        <v>100.6</v>
      </c>
    </row>
    <row r="73" spans="1:14" ht="30" customHeight="1" x14ac:dyDescent="0.15">
      <c r="A73" s="142" t="s">
        <v>21</v>
      </c>
      <c r="B73" s="147" t="s">
        <v>92</v>
      </c>
      <c r="C73" s="148">
        <v>71062958</v>
      </c>
      <c r="D73" s="149">
        <v>64823589</v>
      </c>
      <c r="E73" s="149">
        <v>237212642</v>
      </c>
      <c r="F73" s="149">
        <v>236771502</v>
      </c>
      <c r="G73" s="149">
        <v>81129123</v>
      </c>
      <c r="H73" s="149">
        <v>83118</v>
      </c>
      <c r="I73" s="149">
        <v>76485</v>
      </c>
      <c r="J73" s="149">
        <f t="shared" si="14"/>
        <v>3338</v>
      </c>
      <c r="K73" s="150">
        <f t="shared" si="9"/>
        <v>99.4</v>
      </c>
      <c r="L73" s="150">
        <f t="shared" ref="L73:M77" si="31">ROUND((F73/F70)*100,1)</f>
        <v>91.3</v>
      </c>
      <c r="M73" s="150">
        <f t="shared" si="31"/>
        <v>92.7</v>
      </c>
      <c r="N73" s="151">
        <f t="shared" si="10"/>
        <v>98.9</v>
      </c>
    </row>
    <row r="74" spans="1:14" ht="30" customHeight="1" x14ac:dyDescent="0.15">
      <c r="A74" s="145"/>
      <c r="B74" s="147" t="s">
        <v>93</v>
      </c>
      <c r="C74" s="148">
        <f t="shared" ref="C74:H74" si="32">SUM(C72:C73)</f>
        <v>123453446</v>
      </c>
      <c r="D74" s="149">
        <f t="shared" si="32"/>
        <v>116800779</v>
      </c>
      <c r="E74" s="149">
        <f t="shared" si="32"/>
        <v>2035448446</v>
      </c>
      <c r="F74" s="149">
        <f t="shared" si="32"/>
        <v>2030929750</v>
      </c>
      <c r="G74" s="149">
        <f t="shared" si="32"/>
        <v>758295455</v>
      </c>
      <c r="H74" s="149">
        <f t="shared" si="32"/>
        <v>403887</v>
      </c>
      <c r="I74" s="149">
        <f>SUM(I72:I73)</f>
        <v>390406</v>
      </c>
      <c r="J74" s="149">
        <f t="shared" si="14"/>
        <v>16488</v>
      </c>
      <c r="K74" s="150">
        <f t="shared" si="9"/>
        <v>100</v>
      </c>
      <c r="L74" s="150">
        <f t="shared" si="31"/>
        <v>98</v>
      </c>
      <c r="M74" s="150">
        <f t="shared" si="31"/>
        <v>97.9</v>
      </c>
      <c r="N74" s="151">
        <f t="shared" si="10"/>
        <v>100.3</v>
      </c>
    </row>
    <row r="75" spans="1:14" ht="30" customHeight="1" x14ac:dyDescent="0.15">
      <c r="A75" s="142"/>
      <c r="B75" s="122" t="s">
        <v>90</v>
      </c>
      <c r="C75" s="123">
        <v>52784246</v>
      </c>
      <c r="D75" s="124">
        <v>52360325</v>
      </c>
      <c r="E75" s="124">
        <v>1795034611</v>
      </c>
      <c r="F75" s="124">
        <v>1790888257</v>
      </c>
      <c r="G75" s="124">
        <v>675727060</v>
      </c>
      <c r="H75" s="124">
        <v>323076</v>
      </c>
      <c r="I75" s="124">
        <v>316112</v>
      </c>
      <c r="J75" s="124">
        <f t="shared" si="14"/>
        <v>34007</v>
      </c>
      <c r="K75" s="125">
        <f t="shared" si="9"/>
        <v>100.7</v>
      </c>
      <c r="L75" s="125">
        <f t="shared" si="31"/>
        <v>99.8</v>
      </c>
      <c r="M75" s="125">
        <f t="shared" si="31"/>
        <v>99.8</v>
      </c>
      <c r="N75" s="126">
        <f t="shared" si="10"/>
        <v>100.7</v>
      </c>
    </row>
    <row r="76" spans="1:14" ht="30" customHeight="1" x14ac:dyDescent="0.15">
      <c r="A76" s="142" t="s">
        <v>22</v>
      </c>
      <c r="B76" s="147" t="s">
        <v>92</v>
      </c>
      <c r="C76" s="148">
        <v>70554108</v>
      </c>
      <c r="D76" s="149">
        <v>64304212</v>
      </c>
      <c r="E76" s="149">
        <v>224961296</v>
      </c>
      <c r="F76" s="149">
        <v>224558875</v>
      </c>
      <c r="G76" s="149">
        <v>78111200</v>
      </c>
      <c r="H76" s="149">
        <v>82239</v>
      </c>
      <c r="I76" s="149">
        <v>75639</v>
      </c>
      <c r="J76" s="149">
        <f t="shared" si="14"/>
        <v>3188</v>
      </c>
      <c r="K76" s="150">
        <f t="shared" si="9"/>
        <v>99.2</v>
      </c>
      <c r="L76" s="150">
        <f t="shared" si="31"/>
        <v>94.8</v>
      </c>
      <c r="M76" s="150">
        <f t="shared" si="31"/>
        <v>96.3</v>
      </c>
      <c r="N76" s="151">
        <f t="shared" si="10"/>
        <v>98.9</v>
      </c>
    </row>
    <row r="77" spans="1:14" ht="30" customHeight="1" x14ac:dyDescent="0.15">
      <c r="A77" s="145"/>
      <c r="B77" s="147" t="s">
        <v>93</v>
      </c>
      <c r="C77" s="148">
        <f t="shared" ref="C77:H77" si="33">SUM(C75:C76)</f>
        <v>123338354</v>
      </c>
      <c r="D77" s="149">
        <f t="shared" si="33"/>
        <v>116664537</v>
      </c>
      <c r="E77" s="149">
        <f t="shared" si="33"/>
        <v>2019995907</v>
      </c>
      <c r="F77" s="149">
        <f t="shared" si="33"/>
        <v>2015447132</v>
      </c>
      <c r="G77" s="149">
        <f t="shared" si="33"/>
        <v>753838260</v>
      </c>
      <c r="H77" s="149">
        <f t="shared" si="33"/>
        <v>405315</v>
      </c>
      <c r="I77" s="149">
        <f>SUM(I75:I76)</f>
        <v>391751</v>
      </c>
      <c r="J77" s="149">
        <f t="shared" si="14"/>
        <v>16378</v>
      </c>
      <c r="K77" s="150">
        <f t="shared" si="9"/>
        <v>99.9</v>
      </c>
      <c r="L77" s="150">
        <f t="shared" si="31"/>
        <v>99.2</v>
      </c>
      <c r="M77" s="150">
        <f t="shared" si="31"/>
        <v>99.4</v>
      </c>
      <c r="N77" s="151">
        <f t="shared" si="10"/>
        <v>100.3</v>
      </c>
    </row>
    <row r="78" spans="1:14" s="158" customFormat="1" ht="30" customHeight="1" x14ac:dyDescent="0.15">
      <c r="A78" s="152"/>
      <c r="B78" s="153" t="s">
        <v>94</v>
      </c>
      <c r="C78" s="154">
        <v>26018049</v>
      </c>
      <c r="D78" s="155">
        <v>24587792</v>
      </c>
      <c r="E78" s="155">
        <v>97861013</v>
      </c>
      <c r="F78" s="155">
        <v>97686973</v>
      </c>
      <c r="G78" s="155">
        <v>33135004</v>
      </c>
      <c r="H78" s="155">
        <v>33977</v>
      </c>
      <c r="I78" s="155">
        <v>31923</v>
      </c>
      <c r="J78" s="155">
        <f t="shared" si="14"/>
        <v>3761</v>
      </c>
      <c r="K78" s="156">
        <f>ROUND((D78/24866886)*100,1)</f>
        <v>98.9</v>
      </c>
      <c r="L78" s="156">
        <f>ROUND((F78/103883060)*100,1)</f>
        <v>94</v>
      </c>
      <c r="M78" s="156">
        <f>ROUND((G78/34735126)*100,1)</f>
        <v>95.4</v>
      </c>
      <c r="N78" s="157">
        <f>ROUND((I78/32376)*100,1)</f>
        <v>98.6</v>
      </c>
    </row>
    <row r="79" spans="1:14" s="158" customFormat="1" ht="30" customHeight="1" x14ac:dyDescent="0.15">
      <c r="A79" s="152"/>
      <c r="B79" s="153" t="s">
        <v>95</v>
      </c>
      <c r="C79" s="154">
        <v>9390027</v>
      </c>
      <c r="D79" s="155">
        <v>8865664</v>
      </c>
      <c r="E79" s="155">
        <v>103800342</v>
      </c>
      <c r="F79" s="155">
        <v>103690678</v>
      </c>
      <c r="G79" s="155">
        <v>34119781</v>
      </c>
      <c r="H79" s="155">
        <v>29327</v>
      </c>
      <c r="I79" s="155">
        <v>27665</v>
      </c>
      <c r="J79" s="155">
        <f t="shared" si="14"/>
        <v>11054</v>
      </c>
      <c r="K79" s="159">
        <f>ROUND((D79/9006069)*100,1)</f>
        <v>98.4</v>
      </c>
      <c r="L79" s="159">
        <f>ROUND((F79/109364611)*100,1)</f>
        <v>94.8</v>
      </c>
      <c r="M79" s="156">
        <f>ROUND((G79/35586322)*100,1)</f>
        <v>95.9</v>
      </c>
      <c r="N79" s="157">
        <f>ROUND((I79/28105)*100,1)</f>
        <v>98.4</v>
      </c>
    </row>
    <row r="80" spans="1:14" s="158" customFormat="1" ht="30" customHeight="1" x14ac:dyDescent="0.15">
      <c r="A80" s="152"/>
      <c r="B80" s="153" t="s">
        <v>82</v>
      </c>
      <c r="C80" s="154">
        <v>53160628</v>
      </c>
      <c r="D80" s="155">
        <v>52725235</v>
      </c>
      <c r="E80" s="155">
        <v>1797944062</v>
      </c>
      <c r="F80" s="155">
        <v>1793736989</v>
      </c>
      <c r="G80" s="155">
        <v>675971528</v>
      </c>
      <c r="H80" s="155">
        <v>325739</v>
      </c>
      <c r="I80" s="155">
        <v>318683</v>
      </c>
      <c r="J80" s="155">
        <f t="shared" si="14"/>
        <v>33821</v>
      </c>
      <c r="K80" s="159">
        <f>ROUND((D80/52360325)*100,1)</f>
        <v>100.7</v>
      </c>
      <c r="L80" s="159">
        <f>ROUND((F80/1790888257)*100,1)</f>
        <v>100.2</v>
      </c>
      <c r="M80" s="156">
        <f>ROUND((G80/675727060)*100,1)</f>
        <v>100</v>
      </c>
      <c r="N80" s="157">
        <f>ROUND((I80/316112)*100,1)</f>
        <v>100.8</v>
      </c>
    </row>
    <row r="81" spans="1:14" s="158" customFormat="1" ht="30" customHeight="1" x14ac:dyDescent="0.15">
      <c r="A81" s="160" t="s">
        <v>23</v>
      </c>
      <c r="B81" s="153" t="s">
        <v>96</v>
      </c>
      <c r="C81" s="154">
        <v>22518</v>
      </c>
      <c r="D81" s="155">
        <v>19852</v>
      </c>
      <c r="E81" s="155">
        <v>1088</v>
      </c>
      <c r="F81" s="155">
        <v>933</v>
      </c>
      <c r="G81" s="155">
        <v>813</v>
      </c>
      <c r="H81" s="155">
        <v>65</v>
      </c>
      <c r="I81" s="155">
        <v>47</v>
      </c>
      <c r="J81" s="155">
        <f t="shared" si="14"/>
        <v>48</v>
      </c>
      <c r="K81" s="159">
        <f>ROUND((D81/19852)*100,1)</f>
        <v>100</v>
      </c>
      <c r="L81" s="159">
        <f>ROUND((F81/952)*100,1)</f>
        <v>98</v>
      </c>
      <c r="M81" s="156">
        <f>ROUND((G81/816)*100,1)</f>
        <v>99.6</v>
      </c>
      <c r="N81" s="157">
        <f>ROUND((I81/47)*100,1)</f>
        <v>100</v>
      </c>
    </row>
    <row r="82" spans="1:14" s="158" customFormat="1" ht="30" customHeight="1" x14ac:dyDescent="0.15">
      <c r="A82" s="160"/>
      <c r="B82" s="153" t="s">
        <v>97</v>
      </c>
      <c r="C82" s="154">
        <v>32624945</v>
      </c>
      <c r="D82" s="155">
        <v>28432198</v>
      </c>
      <c r="E82" s="155">
        <v>1349341</v>
      </c>
      <c r="F82" s="155">
        <v>1264563</v>
      </c>
      <c r="G82" s="155">
        <v>1135209</v>
      </c>
      <c r="H82" s="155">
        <v>13533</v>
      </c>
      <c r="I82" s="155">
        <v>11092</v>
      </c>
      <c r="J82" s="155">
        <f t="shared" si="14"/>
        <v>41</v>
      </c>
      <c r="K82" s="159">
        <f>ROUND((D82/28420328)*100,1)</f>
        <v>100</v>
      </c>
      <c r="L82" s="159">
        <f>ROUND((F82/1287726)*100,1)</f>
        <v>98.2</v>
      </c>
      <c r="M82" s="156">
        <f>ROUND((G82/1151688)*100,1)</f>
        <v>98.6</v>
      </c>
      <c r="N82" s="157">
        <f>ROUND((I82/11092)*100,1)</f>
        <v>100</v>
      </c>
    </row>
    <row r="83" spans="1:14" s="158" customFormat="1" ht="30" customHeight="1" x14ac:dyDescent="0.15">
      <c r="A83" s="161"/>
      <c r="B83" s="153" t="s">
        <v>98</v>
      </c>
      <c r="C83" s="154">
        <v>223816</v>
      </c>
      <c r="D83" s="155">
        <v>183097</v>
      </c>
      <c r="E83" s="155">
        <v>50749</v>
      </c>
      <c r="F83" s="155">
        <v>48435</v>
      </c>
      <c r="G83" s="155">
        <v>38104</v>
      </c>
      <c r="H83" s="155">
        <v>583</v>
      </c>
      <c r="I83" s="155">
        <v>441</v>
      </c>
      <c r="J83" s="155">
        <f t="shared" si="14"/>
        <v>227</v>
      </c>
      <c r="K83" s="159">
        <f>ROUND((D83/183608)*100,1)</f>
        <v>99.7</v>
      </c>
      <c r="L83" s="159">
        <f>ROUND((F83/49550)*100,1)</f>
        <v>97.7</v>
      </c>
      <c r="M83" s="156">
        <f>ROUND((G83/38766)*100,1)</f>
        <v>98.3</v>
      </c>
      <c r="N83" s="157">
        <f>ROUND((I83/443)*100,1)</f>
        <v>99.5</v>
      </c>
    </row>
    <row r="84" spans="1:14" s="158" customFormat="1" ht="30" customHeight="1" x14ac:dyDescent="0.15">
      <c r="A84" s="160"/>
      <c r="B84" s="153" t="s">
        <v>99</v>
      </c>
      <c r="C84" s="154">
        <v>1851073</v>
      </c>
      <c r="D84" s="155">
        <v>1804902</v>
      </c>
      <c r="E84" s="155">
        <v>9956929</v>
      </c>
      <c r="F84" s="155">
        <v>9946350</v>
      </c>
      <c r="G84" s="155">
        <v>6592093</v>
      </c>
      <c r="H84" s="155">
        <v>3852</v>
      </c>
      <c r="I84" s="155">
        <v>3564</v>
      </c>
      <c r="J84" s="155">
        <f t="shared" si="14"/>
        <v>5379</v>
      </c>
      <c r="K84" s="159">
        <f>ROUND((D84/1807469)*100,1)</f>
        <v>99.9</v>
      </c>
      <c r="L84" s="159">
        <f>ROUND((F84/9972976)*100,1)</f>
        <v>99.7</v>
      </c>
      <c r="M84" s="156">
        <f>ROUND((G84/6598482)*100,1)</f>
        <v>99.9</v>
      </c>
      <c r="N84" s="157">
        <f>ROUND((I84/3576)*100,1)</f>
        <v>99.7</v>
      </c>
    </row>
    <row r="85" spans="1:14" s="158" customFormat="1" ht="30" customHeight="1" thickBot="1" x14ac:dyDescent="0.2">
      <c r="A85" s="162"/>
      <c r="B85" s="163" t="s">
        <v>29</v>
      </c>
      <c r="C85" s="164">
        <f t="shared" ref="C85:I85" si="34">SUM(C78:C84)</f>
        <v>123291056</v>
      </c>
      <c r="D85" s="165">
        <f t="shared" si="34"/>
        <v>116618740</v>
      </c>
      <c r="E85" s="165">
        <f t="shared" si="34"/>
        <v>2010963524</v>
      </c>
      <c r="F85" s="165">
        <f t="shared" si="34"/>
        <v>2006374921</v>
      </c>
      <c r="G85" s="165">
        <f t="shared" si="34"/>
        <v>750992532</v>
      </c>
      <c r="H85" s="165">
        <f t="shared" si="34"/>
        <v>407076</v>
      </c>
      <c r="I85" s="165">
        <f t="shared" si="34"/>
        <v>393415</v>
      </c>
      <c r="J85" s="165">
        <f>ROUND((E85*1000)/C85,0)</f>
        <v>16311</v>
      </c>
      <c r="K85" s="166">
        <f>ROUND((D85/D77)*100,1)</f>
        <v>100</v>
      </c>
      <c r="L85" s="166">
        <f>ROUND((F85/F77)*100,1)</f>
        <v>99.5</v>
      </c>
      <c r="M85" s="166">
        <f>ROUND((G85/G77)*100,1)</f>
        <v>99.6</v>
      </c>
      <c r="N85" s="167">
        <f>ROUND((I85/I77)*100,1)</f>
        <v>100.4</v>
      </c>
    </row>
    <row r="86" spans="1:14" ht="30" customHeight="1" x14ac:dyDescent="0.15">
      <c r="A86" s="110" t="s">
        <v>100</v>
      </c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</row>
    <row r="87" spans="1:14" ht="30" customHeight="1" x14ac:dyDescent="0.15">
      <c r="J87" s="111" t="s">
        <v>101</v>
      </c>
    </row>
    <row r="88" spans="1:14" ht="30" customHeight="1" x14ac:dyDescent="0.15"/>
    <row r="89" spans="1:14" ht="30" customHeight="1" x14ac:dyDescent="0.15">
      <c r="C89" s="168"/>
      <c r="D89" s="168"/>
      <c r="E89" s="168"/>
      <c r="F89" s="168"/>
      <c r="G89" s="168"/>
      <c r="H89" s="168"/>
      <c r="I89" s="168"/>
    </row>
  </sheetData>
  <mergeCells count="24">
    <mergeCell ref="A24:A26"/>
    <mergeCell ref="A27:A29"/>
    <mergeCell ref="A30:A32"/>
    <mergeCell ref="A6:A8"/>
    <mergeCell ref="A9:A11"/>
    <mergeCell ref="A12:A14"/>
    <mergeCell ref="A15:A17"/>
    <mergeCell ref="A18:A20"/>
    <mergeCell ref="A21:A23"/>
    <mergeCell ref="K3:N3"/>
    <mergeCell ref="C4:C5"/>
    <mergeCell ref="D4:D5"/>
    <mergeCell ref="E4:E5"/>
    <mergeCell ref="F4:F5"/>
    <mergeCell ref="H4:H5"/>
    <mergeCell ref="I4:I5"/>
    <mergeCell ref="J4:J5"/>
    <mergeCell ref="M4:M5"/>
    <mergeCell ref="H3:I3"/>
    <mergeCell ref="A3:A5"/>
    <mergeCell ref="B3:B5"/>
    <mergeCell ref="C3:D3"/>
    <mergeCell ref="E3:F3"/>
    <mergeCell ref="G3:G4"/>
  </mergeCells>
  <phoneticPr fontId="4"/>
  <printOptions horizontalCentered="1"/>
  <pageMargins left="0.70866141732283472" right="0.70866141732283472" top="0.59055118110236227" bottom="0.59055118110236227" header="0.31496062992125984" footer="0.31496062992125984"/>
  <pageSetup paperSize="9" scale="73" orientation="landscape" horizontalDpi="300" verticalDpi="300" r:id="rId1"/>
  <headerFooter scaleWithDoc="0"/>
  <colBreaks count="1" manualBreakCount="1">
    <brk id="7" max="8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67ADF-FD38-42D5-BBF0-B7BC95698EBC}">
  <sheetPr>
    <pageSetUpPr fitToPage="1"/>
  </sheetPr>
  <dimension ref="A1:O95"/>
  <sheetViews>
    <sheetView showGridLines="0" view="pageBreakPreview" zoomScale="85" zoomScaleNormal="75" zoomScaleSheetLayoutView="85" workbookViewId="0">
      <pane ySplit="42" topLeftCell="A67" activePane="bottomLeft" state="frozen"/>
      <selection pane="bottomLeft" activeCell="A2" sqref="A2"/>
    </sheetView>
  </sheetViews>
  <sheetFormatPr defaultRowHeight="17.25" customHeight="1" x14ac:dyDescent="0.15"/>
  <cols>
    <col min="1" max="1" width="11.125" style="62" bestFit="1" customWidth="1"/>
    <col min="2" max="2" width="3.375" style="62" bestFit="1" customWidth="1"/>
    <col min="3" max="3" width="18.75" style="62" customWidth="1"/>
    <col min="4" max="5" width="12.375" style="62" bestFit="1" customWidth="1"/>
    <col min="6" max="8" width="13.625" style="62" bestFit="1" customWidth="1"/>
    <col min="9" max="10" width="11.25" style="62" bestFit="1" customWidth="1"/>
    <col min="11" max="11" width="14.875" style="62" customWidth="1"/>
    <col min="12" max="15" width="10.625" style="62" customWidth="1"/>
    <col min="16" max="256" width="9" style="62"/>
    <col min="257" max="257" width="11.125" style="62" bestFit="1" customWidth="1"/>
    <col min="258" max="258" width="3.375" style="62" bestFit="1" customWidth="1"/>
    <col min="259" max="259" width="18.75" style="62" customWidth="1"/>
    <col min="260" max="261" width="12.375" style="62" bestFit="1" customWidth="1"/>
    <col min="262" max="264" width="13.625" style="62" bestFit="1" customWidth="1"/>
    <col min="265" max="266" width="11.25" style="62" bestFit="1" customWidth="1"/>
    <col min="267" max="267" width="14.875" style="62" customWidth="1"/>
    <col min="268" max="271" width="10.625" style="62" customWidth="1"/>
    <col min="272" max="512" width="9" style="62"/>
    <col min="513" max="513" width="11.125" style="62" bestFit="1" customWidth="1"/>
    <col min="514" max="514" width="3.375" style="62" bestFit="1" customWidth="1"/>
    <col min="515" max="515" width="18.75" style="62" customWidth="1"/>
    <col min="516" max="517" width="12.375" style="62" bestFit="1" customWidth="1"/>
    <col min="518" max="520" width="13.625" style="62" bestFit="1" customWidth="1"/>
    <col min="521" max="522" width="11.25" style="62" bestFit="1" customWidth="1"/>
    <col min="523" max="523" width="14.875" style="62" customWidth="1"/>
    <col min="524" max="527" width="10.625" style="62" customWidth="1"/>
    <col min="528" max="768" width="9" style="62"/>
    <col min="769" max="769" width="11.125" style="62" bestFit="1" customWidth="1"/>
    <col min="770" max="770" width="3.375" style="62" bestFit="1" customWidth="1"/>
    <col min="771" max="771" width="18.75" style="62" customWidth="1"/>
    <col min="772" max="773" width="12.375" style="62" bestFit="1" customWidth="1"/>
    <col min="774" max="776" width="13.625" style="62" bestFit="1" customWidth="1"/>
    <col min="777" max="778" width="11.25" style="62" bestFit="1" customWidth="1"/>
    <col min="779" max="779" width="14.875" style="62" customWidth="1"/>
    <col min="780" max="783" width="10.625" style="62" customWidth="1"/>
    <col min="784" max="1024" width="9" style="62"/>
    <col min="1025" max="1025" width="11.125" style="62" bestFit="1" customWidth="1"/>
    <col min="1026" max="1026" width="3.375" style="62" bestFit="1" customWidth="1"/>
    <col min="1027" max="1027" width="18.75" style="62" customWidth="1"/>
    <col min="1028" max="1029" width="12.375" style="62" bestFit="1" customWidth="1"/>
    <col min="1030" max="1032" width="13.625" style="62" bestFit="1" customWidth="1"/>
    <col min="1033" max="1034" width="11.25" style="62" bestFit="1" customWidth="1"/>
    <col min="1035" max="1035" width="14.875" style="62" customWidth="1"/>
    <col min="1036" max="1039" width="10.625" style="62" customWidth="1"/>
    <col min="1040" max="1280" width="9" style="62"/>
    <col min="1281" max="1281" width="11.125" style="62" bestFit="1" customWidth="1"/>
    <col min="1282" max="1282" width="3.375" style="62" bestFit="1" customWidth="1"/>
    <col min="1283" max="1283" width="18.75" style="62" customWidth="1"/>
    <col min="1284" max="1285" width="12.375" style="62" bestFit="1" customWidth="1"/>
    <col min="1286" max="1288" width="13.625" style="62" bestFit="1" customWidth="1"/>
    <col min="1289" max="1290" width="11.25" style="62" bestFit="1" customWidth="1"/>
    <col min="1291" max="1291" width="14.875" style="62" customWidth="1"/>
    <col min="1292" max="1295" width="10.625" style="62" customWidth="1"/>
    <col min="1296" max="1536" width="9" style="62"/>
    <col min="1537" max="1537" width="11.125" style="62" bestFit="1" customWidth="1"/>
    <col min="1538" max="1538" width="3.375" style="62" bestFit="1" customWidth="1"/>
    <col min="1539" max="1539" width="18.75" style="62" customWidth="1"/>
    <col min="1540" max="1541" width="12.375" style="62" bestFit="1" customWidth="1"/>
    <col min="1542" max="1544" width="13.625" style="62" bestFit="1" customWidth="1"/>
    <col min="1545" max="1546" width="11.25" style="62" bestFit="1" customWidth="1"/>
    <col min="1547" max="1547" width="14.875" style="62" customWidth="1"/>
    <col min="1548" max="1551" width="10.625" style="62" customWidth="1"/>
    <col min="1552" max="1792" width="9" style="62"/>
    <col min="1793" max="1793" width="11.125" style="62" bestFit="1" customWidth="1"/>
    <col min="1794" max="1794" width="3.375" style="62" bestFit="1" customWidth="1"/>
    <col min="1795" max="1795" width="18.75" style="62" customWidth="1"/>
    <col min="1796" max="1797" width="12.375" style="62" bestFit="1" customWidth="1"/>
    <col min="1798" max="1800" width="13.625" style="62" bestFit="1" customWidth="1"/>
    <col min="1801" max="1802" width="11.25" style="62" bestFit="1" customWidth="1"/>
    <col min="1803" max="1803" width="14.875" style="62" customWidth="1"/>
    <col min="1804" max="1807" width="10.625" style="62" customWidth="1"/>
    <col min="1808" max="2048" width="9" style="62"/>
    <col min="2049" max="2049" width="11.125" style="62" bestFit="1" customWidth="1"/>
    <col min="2050" max="2050" width="3.375" style="62" bestFit="1" customWidth="1"/>
    <col min="2051" max="2051" width="18.75" style="62" customWidth="1"/>
    <col min="2052" max="2053" width="12.375" style="62" bestFit="1" customWidth="1"/>
    <col min="2054" max="2056" width="13.625" style="62" bestFit="1" customWidth="1"/>
    <col min="2057" max="2058" width="11.25" style="62" bestFit="1" customWidth="1"/>
    <col min="2059" max="2059" width="14.875" style="62" customWidth="1"/>
    <col min="2060" max="2063" width="10.625" style="62" customWidth="1"/>
    <col min="2064" max="2304" width="9" style="62"/>
    <col min="2305" max="2305" width="11.125" style="62" bestFit="1" customWidth="1"/>
    <col min="2306" max="2306" width="3.375" style="62" bestFit="1" customWidth="1"/>
    <col min="2307" max="2307" width="18.75" style="62" customWidth="1"/>
    <col min="2308" max="2309" width="12.375" style="62" bestFit="1" customWidth="1"/>
    <col min="2310" max="2312" width="13.625" style="62" bestFit="1" customWidth="1"/>
    <col min="2313" max="2314" width="11.25" style="62" bestFit="1" customWidth="1"/>
    <col min="2315" max="2315" width="14.875" style="62" customWidth="1"/>
    <col min="2316" max="2319" width="10.625" style="62" customWidth="1"/>
    <col min="2320" max="2560" width="9" style="62"/>
    <col min="2561" max="2561" width="11.125" style="62" bestFit="1" customWidth="1"/>
    <col min="2562" max="2562" width="3.375" style="62" bestFit="1" customWidth="1"/>
    <col min="2563" max="2563" width="18.75" style="62" customWidth="1"/>
    <col min="2564" max="2565" width="12.375" style="62" bestFit="1" customWidth="1"/>
    <col min="2566" max="2568" width="13.625" style="62" bestFit="1" customWidth="1"/>
    <col min="2569" max="2570" width="11.25" style="62" bestFit="1" customWidth="1"/>
    <col min="2571" max="2571" width="14.875" style="62" customWidth="1"/>
    <col min="2572" max="2575" width="10.625" style="62" customWidth="1"/>
    <col min="2576" max="2816" width="9" style="62"/>
    <col min="2817" max="2817" width="11.125" style="62" bestFit="1" customWidth="1"/>
    <col min="2818" max="2818" width="3.375" style="62" bestFit="1" customWidth="1"/>
    <col min="2819" max="2819" width="18.75" style="62" customWidth="1"/>
    <col min="2820" max="2821" width="12.375" style="62" bestFit="1" customWidth="1"/>
    <col min="2822" max="2824" width="13.625" style="62" bestFit="1" customWidth="1"/>
    <col min="2825" max="2826" width="11.25" style="62" bestFit="1" customWidth="1"/>
    <col min="2827" max="2827" width="14.875" style="62" customWidth="1"/>
    <col min="2828" max="2831" width="10.625" style="62" customWidth="1"/>
    <col min="2832" max="3072" width="9" style="62"/>
    <col min="3073" max="3073" width="11.125" style="62" bestFit="1" customWidth="1"/>
    <col min="3074" max="3074" width="3.375" style="62" bestFit="1" customWidth="1"/>
    <col min="3075" max="3075" width="18.75" style="62" customWidth="1"/>
    <col min="3076" max="3077" width="12.375" style="62" bestFit="1" customWidth="1"/>
    <col min="3078" max="3080" width="13.625" style="62" bestFit="1" customWidth="1"/>
    <col min="3081" max="3082" width="11.25" style="62" bestFit="1" customWidth="1"/>
    <col min="3083" max="3083" width="14.875" style="62" customWidth="1"/>
    <col min="3084" max="3087" width="10.625" style="62" customWidth="1"/>
    <col min="3088" max="3328" width="9" style="62"/>
    <col min="3329" max="3329" width="11.125" style="62" bestFit="1" customWidth="1"/>
    <col min="3330" max="3330" width="3.375" style="62" bestFit="1" customWidth="1"/>
    <col min="3331" max="3331" width="18.75" style="62" customWidth="1"/>
    <col min="3332" max="3333" width="12.375" style="62" bestFit="1" customWidth="1"/>
    <col min="3334" max="3336" width="13.625" style="62" bestFit="1" customWidth="1"/>
    <col min="3337" max="3338" width="11.25" style="62" bestFit="1" customWidth="1"/>
    <col min="3339" max="3339" width="14.875" style="62" customWidth="1"/>
    <col min="3340" max="3343" width="10.625" style="62" customWidth="1"/>
    <col min="3344" max="3584" width="9" style="62"/>
    <col min="3585" max="3585" width="11.125" style="62" bestFit="1" customWidth="1"/>
    <col min="3586" max="3586" width="3.375" style="62" bestFit="1" customWidth="1"/>
    <col min="3587" max="3587" width="18.75" style="62" customWidth="1"/>
    <col min="3588" max="3589" width="12.375" style="62" bestFit="1" customWidth="1"/>
    <col min="3590" max="3592" width="13.625" style="62" bestFit="1" customWidth="1"/>
    <col min="3593" max="3594" width="11.25" style="62" bestFit="1" customWidth="1"/>
    <col min="3595" max="3595" width="14.875" style="62" customWidth="1"/>
    <col min="3596" max="3599" width="10.625" style="62" customWidth="1"/>
    <col min="3600" max="3840" width="9" style="62"/>
    <col min="3841" max="3841" width="11.125" style="62" bestFit="1" customWidth="1"/>
    <col min="3842" max="3842" width="3.375" style="62" bestFit="1" customWidth="1"/>
    <col min="3843" max="3843" width="18.75" style="62" customWidth="1"/>
    <col min="3844" max="3845" width="12.375" style="62" bestFit="1" customWidth="1"/>
    <col min="3846" max="3848" width="13.625" style="62" bestFit="1" customWidth="1"/>
    <col min="3849" max="3850" width="11.25" style="62" bestFit="1" customWidth="1"/>
    <col min="3851" max="3851" width="14.875" style="62" customWidth="1"/>
    <col min="3852" max="3855" width="10.625" style="62" customWidth="1"/>
    <col min="3856" max="4096" width="9" style="62"/>
    <col min="4097" max="4097" width="11.125" style="62" bestFit="1" customWidth="1"/>
    <col min="4098" max="4098" width="3.375" style="62" bestFit="1" customWidth="1"/>
    <col min="4099" max="4099" width="18.75" style="62" customWidth="1"/>
    <col min="4100" max="4101" width="12.375" style="62" bestFit="1" customWidth="1"/>
    <col min="4102" max="4104" width="13.625" style="62" bestFit="1" customWidth="1"/>
    <col min="4105" max="4106" width="11.25" style="62" bestFit="1" customWidth="1"/>
    <col min="4107" max="4107" width="14.875" style="62" customWidth="1"/>
    <col min="4108" max="4111" width="10.625" style="62" customWidth="1"/>
    <col min="4112" max="4352" width="9" style="62"/>
    <col min="4353" max="4353" width="11.125" style="62" bestFit="1" customWidth="1"/>
    <col min="4354" max="4354" width="3.375" style="62" bestFit="1" customWidth="1"/>
    <col min="4355" max="4355" width="18.75" style="62" customWidth="1"/>
    <col min="4356" max="4357" width="12.375" style="62" bestFit="1" customWidth="1"/>
    <col min="4358" max="4360" width="13.625" style="62" bestFit="1" customWidth="1"/>
    <col min="4361" max="4362" width="11.25" style="62" bestFit="1" customWidth="1"/>
    <col min="4363" max="4363" width="14.875" style="62" customWidth="1"/>
    <col min="4364" max="4367" width="10.625" style="62" customWidth="1"/>
    <col min="4368" max="4608" width="9" style="62"/>
    <col min="4609" max="4609" width="11.125" style="62" bestFit="1" customWidth="1"/>
    <col min="4610" max="4610" width="3.375" style="62" bestFit="1" customWidth="1"/>
    <col min="4611" max="4611" width="18.75" style="62" customWidth="1"/>
    <col min="4612" max="4613" width="12.375" style="62" bestFit="1" customWidth="1"/>
    <col min="4614" max="4616" width="13.625" style="62" bestFit="1" customWidth="1"/>
    <col min="4617" max="4618" width="11.25" style="62" bestFit="1" customWidth="1"/>
    <col min="4619" max="4619" width="14.875" style="62" customWidth="1"/>
    <col min="4620" max="4623" width="10.625" style="62" customWidth="1"/>
    <col min="4624" max="4864" width="9" style="62"/>
    <col min="4865" max="4865" width="11.125" style="62" bestFit="1" customWidth="1"/>
    <col min="4866" max="4866" width="3.375" style="62" bestFit="1" customWidth="1"/>
    <col min="4867" max="4867" width="18.75" style="62" customWidth="1"/>
    <col min="4868" max="4869" width="12.375" style="62" bestFit="1" customWidth="1"/>
    <col min="4870" max="4872" width="13.625" style="62" bestFit="1" customWidth="1"/>
    <col min="4873" max="4874" width="11.25" style="62" bestFit="1" customWidth="1"/>
    <col min="4875" max="4875" width="14.875" style="62" customWidth="1"/>
    <col min="4876" max="4879" width="10.625" style="62" customWidth="1"/>
    <col min="4880" max="5120" width="9" style="62"/>
    <col min="5121" max="5121" width="11.125" style="62" bestFit="1" customWidth="1"/>
    <col min="5122" max="5122" width="3.375" style="62" bestFit="1" customWidth="1"/>
    <col min="5123" max="5123" width="18.75" style="62" customWidth="1"/>
    <col min="5124" max="5125" width="12.375" style="62" bestFit="1" customWidth="1"/>
    <col min="5126" max="5128" width="13.625" style="62" bestFit="1" customWidth="1"/>
    <col min="5129" max="5130" width="11.25" style="62" bestFit="1" customWidth="1"/>
    <col min="5131" max="5131" width="14.875" style="62" customWidth="1"/>
    <col min="5132" max="5135" width="10.625" style="62" customWidth="1"/>
    <col min="5136" max="5376" width="9" style="62"/>
    <col min="5377" max="5377" width="11.125" style="62" bestFit="1" customWidth="1"/>
    <col min="5378" max="5378" width="3.375" style="62" bestFit="1" customWidth="1"/>
    <col min="5379" max="5379" width="18.75" style="62" customWidth="1"/>
    <col min="5380" max="5381" width="12.375" style="62" bestFit="1" customWidth="1"/>
    <col min="5382" max="5384" width="13.625" style="62" bestFit="1" customWidth="1"/>
    <col min="5385" max="5386" width="11.25" style="62" bestFit="1" customWidth="1"/>
    <col min="5387" max="5387" width="14.875" style="62" customWidth="1"/>
    <col min="5388" max="5391" width="10.625" style="62" customWidth="1"/>
    <col min="5392" max="5632" width="9" style="62"/>
    <col min="5633" max="5633" width="11.125" style="62" bestFit="1" customWidth="1"/>
    <col min="5634" max="5634" width="3.375" style="62" bestFit="1" customWidth="1"/>
    <col min="5635" max="5635" width="18.75" style="62" customWidth="1"/>
    <col min="5636" max="5637" width="12.375" style="62" bestFit="1" customWidth="1"/>
    <col min="5638" max="5640" width="13.625" style="62" bestFit="1" customWidth="1"/>
    <col min="5641" max="5642" width="11.25" style="62" bestFit="1" customWidth="1"/>
    <col min="5643" max="5643" width="14.875" style="62" customWidth="1"/>
    <col min="5644" max="5647" width="10.625" style="62" customWidth="1"/>
    <col min="5648" max="5888" width="9" style="62"/>
    <col min="5889" max="5889" width="11.125" style="62" bestFit="1" customWidth="1"/>
    <col min="5890" max="5890" width="3.375" style="62" bestFit="1" customWidth="1"/>
    <col min="5891" max="5891" width="18.75" style="62" customWidth="1"/>
    <col min="5892" max="5893" width="12.375" style="62" bestFit="1" customWidth="1"/>
    <col min="5894" max="5896" width="13.625" style="62" bestFit="1" customWidth="1"/>
    <col min="5897" max="5898" width="11.25" style="62" bestFit="1" customWidth="1"/>
    <col min="5899" max="5899" width="14.875" style="62" customWidth="1"/>
    <col min="5900" max="5903" width="10.625" style="62" customWidth="1"/>
    <col min="5904" max="6144" width="9" style="62"/>
    <col min="6145" max="6145" width="11.125" style="62" bestFit="1" customWidth="1"/>
    <col min="6146" max="6146" width="3.375" style="62" bestFit="1" customWidth="1"/>
    <col min="6147" max="6147" width="18.75" style="62" customWidth="1"/>
    <col min="6148" max="6149" width="12.375" style="62" bestFit="1" customWidth="1"/>
    <col min="6150" max="6152" width="13.625" style="62" bestFit="1" customWidth="1"/>
    <col min="6153" max="6154" width="11.25" style="62" bestFit="1" customWidth="1"/>
    <col min="6155" max="6155" width="14.875" style="62" customWidth="1"/>
    <col min="6156" max="6159" width="10.625" style="62" customWidth="1"/>
    <col min="6160" max="6400" width="9" style="62"/>
    <col min="6401" max="6401" width="11.125" style="62" bestFit="1" customWidth="1"/>
    <col min="6402" max="6402" width="3.375" style="62" bestFit="1" customWidth="1"/>
    <col min="6403" max="6403" width="18.75" style="62" customWidth="1"/>
    <col min="6404" max="6405" width="12.375" style="62" bestFit="1" customWidth="1"/>
    <col min="6406" max="6408" width="13.625" style="62" bestFit="1" customWidth="1"/>
    <col min="6409" max="6410" width="11.25" style="62" bestFit="1" customWidth="1"/>
    <col min="6411" max="6411" width="14.875" style="62" customWidth="1"/>
    <col min="6412" max="6415" width="10.625" style="62" customWidth="1"/>
    <col min="6416" max="6656" width="9" style="62"/>
    <col min="6657" max="6657" width="11.125" style="62" bestFit="1" customWidth="1"/>
    <col min="6658" max="6658" width="3.375" style="62" bestFit="1" customWidth="1"/>
    <col min="6659" max="6659" width="18.75" style="62" customWidth="1"/>
    <col min="6660" max="6661" width="12.375" style="62" bestFit="1" customWidth="1"/>
    <col min="6662" max="6664" width="13.625" style="62" bestFit="1" customWidth="1"/>
    <col min="6665" max="6666" width="11.25" style="62" bestFit="1" customWidth="1"/>
    <col min="6667" max="6667" width="14.875" style="62" customWidth="1"/>
    <col min="6668" max="6671" width="10.625" style="62" customWidth="1"/>
    <col min="6672" max="6912" width="9" style="62"/>
    <col min="6913" max="6913" width="11.125" style="62" bestFit="1" customWidth="1"/>
    <col min="6914" max="6914" width="3.375" style="62" bestFit="1" customWidth="1"/>
    <col min="6915" max="6915" width="18.75" style="62" customWidth="1"/>
    <col min="6916" max="6917" width="12.375" style="62" bestFit="1" customWidth="1"/>
    <col min="6918" max="6920" width="13.625" style="62" bestFit="1" customWidth="1"/>
    <col min="6921" max="6922" width="11.25" style="62" bestFit="1" customWidth="1"/>
    <col min="6923" max="6923" width="14.875" style="62" customWidth="1"/>
    <col min="6924" max="6927" width="10.625" style="62" customWidth="1"/>
    <col min="6928" max="7168" width="9" style="62"/>
    <col min="7169" max="7169" width="11.125" style="62" bestFit="1" customWidth="1"/>
    <col min="7170" max="7170" width="3.375" style="62" bestFit="1" customWidth="1"/>
    <col min="7171" max="7171" width="18.75" style="62" customWidth="1"/>
    <col min="7172" max="7173" width="12.375" style="62" bestFit="1" customWidth="1"/>
    <col min="7174" max="7176" width="13.625" style="62" bestFit="1" customWidth="1"/>
    <col min="7177" max="7178" width="11.25" style="62" bestFit="1" customWidth="1"/>
    <col min="7179" max="7179" width="14.875" style="62" customWidth="1"/>
    <col min="7180" max="7183" width="10.625" style="62" customWidth="1"/>
    <col min="7184" max="7424" width="9" style="62"/>
    <col min="7425" max="7425" width="11.125" style="62" bestFit="1" customWidth="1"/>
    <col min="7426" max="7426" width="3.375" style="62" bestFit="1" customWidth="1"/>
    <col min="7427" max="7427" width="18.75" style="62" customWidth="1"/>
    <col min="7428" max="7429" width="12.375" style="62" bestFit="1" customWidth="1"/>
    <col min="7430" max="7432" width="13.625" style="62" bestFit="1" customWidth="1"/>
    <col min="7433" max="7434" width="11.25" style="62" bestFit="1" customWidth="1"/>
    <col min="7435" max="7435" width="14.875" style="62" customWidth="1"/>
    <col min="7436" max="7439" width="10.625" style="62" customWidth="1"/>
    <col min="7440" max="7680" width="9" style="62"/>
    <col min="7681" max="7681" width="11.125" style="62" bestFit="1" customWidth="1"/>
    <col min="7682" max="7682" width="3.375" style="62" bestFit="1" customWidth="1"/>
    <col min="7683" max="7683" width="18.75" style="62" customWidth="1"/>
    <col min="7684" max="7685" width="12.375" style="62" bestFit="1" customWidth="1"/>
    <col min="7686" max="7688" width="13.625" style="62" bestFit="1" customWidth="1"/>
    <col min="7689" max="7690" width="11.25" style="62" bestFit="1" customWidth="1"/>
    <col min="7691" max="7691" width="14.875" style="62" customWidth="1"/>
    <col min="7692" max="7695" width="10.625" style="62" customWidth="1"/>
    <col min="7696" max="7936" width="9" style="62"/>
    <col min="7937" max="7937" width="11.125" style="62" bestFit="1" customWidth="1"/>
    <col min="7938" max="7938" width="3.375" style="62" bestFit="1" customWidth="1"/>
    <col min="7939" max="7939" width="18.75" style="62" customWidth="1"/>
    <col min="7940" max="7941" width="12.375" style="62" bestFit="1" customWidth="1"/>
    <col min="7942" max="7944" width="13.625" style="62" bestFit="1" customWidth="1"/>
    <col min="7945" max="7946" width="11.25" style="62" bestFit="1" customWidth="1"/>
    <col min="7947" max="7947" width="14.875" style="62" customWidth="1"/>
    <col min="7948" max="7951" width="10.625" style="62" customWidth="1"/>
    <col min="7952" max="8192" width="9" style="62"/>
    <col min="8193" max="8193" width="11.125" style="62" bestFit="1" customWidth="1"/>
    <col min="8194" max="8194" width="3.375" style="62" bestFit="1" customWidth="1"/>
    <col min="8195" max="8195" width="18.75" style="62" customWidth="1"/>
    <col min="8196" max="8197" width="12.375" style="62" bestFit="1" customWidth="1"/>
    <col min="8198" max="8200" width="13.625" style="62" bestFit="1" customWidth="1"/>
    <col min="8201" max="8202" width="11.25" style="62" bestFit="1" customWidth="1"/>
    <col min="8203" max="8203" width="14.875" style="62" customWidth="1"/>
    <col min="8204" max="8207" width="10.625" style="62" customWidth="1"/>
    <col min="8208" max="8448" width="9" style="62"/>
    <col min="8449" max="8449" width="11.125" style="62" bestFit="1" customWidth="1"/>
    <col min="8450" max="8450" width="3.375" style="62" bestFit="1" customWidth="1"/>
    <col min="8451" max="8451" width="18.75" style="62" customWidth="1"/>
    <col min="8452" max="8453" width="12.375" style="62" bestFit="1" customWidth="1"/>
    <col min="8454" max="8456" width="13.625" style="62" bestFit="1" customWidth="1"/>
    <col min="8457" max="8458" width="11.25" style="62" bestFit="1" customWidth="1"/>
    <col min="8459" max="8459" width="14.875" style="62" customWidth="1"/>
    <col min="8460" max="8463" width="10.625" style="62" customWidth="1"/>
    <col min="8464" max="8704" width="9" style="62"/>
    <col min="8705" max="8705" width="11.125" style="62" bestFit="1" customWidth="1"/>
    <col min="8706" max="8706" width="3.375" style="62" bestFit="1" customWidth="1"/>
    <col min="8707" max="8707" width="18.75" style="62" customWidth="1"/>
    <col min="8708" max="8709" width="12.375" style="62" bestFit="1" customWidth="1"/>
    <col min="8710" max="8712" width="13.625" style="62" bestFit="1" customWidth="1"/>
    <col min="8713" max="8714" width="11.25" style="62" bestFit="1" customWidth="1"/>
    <col min="8715" max="8715" width="14.875" style="62" customWidth="1"/>
    <col min="8716" max="8719" width="10.625" style="62" customWidth="1"/>
    <col min="8720" max="8960" width="9" style="62"/>
    <col min="8961" max="8961" width="11.125" style="62" bestFit="1" customWidth="1"/>
    <col min="8962" max="8962" width="3.375" style="62" bestFit="1" customWidth="1"/>
    <col min="8963" max="8963" width="18.75" style="62" customWidth="1"/>
    <col min="8964" max="8965" width="12.375" style="62" bestFit="1" customWidth="1"/>
    <col min="8966" max="8968" width="13.625" style="62" bestFit="1" customWidth="1"/>
    <col min="8969" max="8970" width="11.25" style="62" bestFit="1" customWidth="1"/>
    <col min="8971" max="8971" width="14.875" style="62" customWidth="1"/>
    <col min="8972" max="8975" width="10.625" style="62" customWidth="1"/>
    <col min="8976" max="9216" width="9" style="62"/>
    <col min="9217" max="9217" width="11.125" style="62" bestFit="1" customWidth="1"/>
    <col min="9218" max="9218" width="3.375" style="62" bestFit="1" customWidth="1"/>
    <col min="9219" max="9219" width="18.75" style="62" customWidth="1"/>
    <col min="9220" max="9221" width="12.375" style="62" bestFit="1" customWidth="1"/>
    <col min="9222" max="9224" width="13.625" style="62" bestFit="1" customWidth="1"/>
    <col min="9225" max="9226" width="11.25" style="62" bestFit="1" customWidth="1"/>
    <col min="9227" max="9227" width="14.875" style="62" customWidth="1"/>
    <col min="9228" max="9231" width="10.625" style="62" customWidth="1"/>
    <col min="9232" max="9472" width="9" style="62"/>
    <col min="9473" max="9473" width="11.125" style="62" bestFit="1" customWidth="1"/>
    <col min="9474" max="9474" width="3.375" style="62" bestFit="1" customWidth="1"/>
    <col min="9475" max="9475" width="18.75" style="62" customWidth="1"/>
    <col min="9476" max="9477" width="12.375" style="62" bestFit="1" customWidth="1"/>
    <col min="9478" max="9480" width="13.625" style="62" bestFit="1" customWidth="1"/>
    <col min="9481" max="9482" width="11.25" style="62" bestFit="1" customWidth="1"/>
    <col min="9483" max="9483" width="14.875" style="62" customWidth="1"/>
    <col min="9484" max="9487" width="10.625" style="62" customWidth="1"/>
    <col min="9488" max="9728" width="9" style="62"/>
    <col min="9729" max="9729" width="11.125" style="62" bestFit="1" customWidth="1"/>
    <col min="9730" max="9730" width="3.375" style="62" bestFit="1" customWidth="1"/>
    <col min="9731" max="9731" width="18.75" style="62" customWidth="1"/>
    <col min="9732" max="9733" width="12.375" style="62" bestFit="1" customWidth="1"/>
    <col min="9734" max="9736" width="13.625" style="62" bestFit="1" customWidth="1"/>
    <col min="9737" max="9738" width="11.25" style="62" bestFit="1" customWidth="1"/>
    <col min="9739" max="9739" width="14.875" style="62" customWidth="1"/>
    <col min="9740" max="9743" width="10.625" style="62" customWidth="1"/>
    <col min="9744" max="9984" width="9" style="62"/>
    <col min="9985" max="9985" width="11.125" style="62" bestFit="1" customWidth="1"/>
    <col min="9986" max="9986" width="3.375" style="62" bestFit="1" customWidth="1"/>
    <col min="9987" max="9987" width="18.75" style="62" customWidth="1"/>
    <col min="9988" max="9989" width="12.375" style="62" bestFit="1" customWidth="1"/>
    <col min="9990" max="9992" width="13.625" style="62" bestFit="1" customWidth="1"/>
    <col min="9993" max="9994" width="11.25" style="62" bestFit="1" customWidth="1"/>
    <col min="9995" max="9995" width="14.875" style="62" customWidth="1"/>
    <col min="9996" max="9999" width="10.625" style="62" customWidth="1"/>
    <col min="10000" max="10240" width="9" style="62"/>
    <col min="10241" max="10241" width="11.125" style="62" bestFit="1" customWidth="1"/>
    <col min="10242" max="10242" width="3.375" style="62" bestFit="1" customWidth="1"/>
    <col min="10243" max="10243" width="18.75" style="62" customWidth="1"/>
    <col min="10244" max="10245" width="12.375" style="62" bestFit="1" customWidth="1"/>
    <col min="10246" max="10248" width="13.625" style="62" bestFit="1" customWidth="1"/>
    <col min="10249" max="10250" width="11.25" style="62" bestFit="1" customWidth="1"/>
    <col min="10251" max="10251" width="14.875" style="62" customWidth="1"/>
    <col min="10252" max="10255" width="10.625" style="62" customWidth="1"/>
    <col min="10256" max="10496" width="9" style="62"/>
    <col min="10497" max="10497" width="11.125" style="62" bestFit="1" customWidth="1"/>
    <col min="10498" max="10498" width="3.375" style="62" bestFit="1" customWidth="1"/>
    <col min="10499" max="10499" width="18.75" style="62" customWidth="1"/>
    <col min="10500" max="10501" width="12.375" style="62" bestFit="1" customWidth="1"/>
    <col min="10502" max="10504" width="13.625" style="62" bestFit="1" customWidth="1"/>
    <col min="10505" max="10506" width="11.25" style="62" bestFit="1" customWidth="1"/>
    <col min="10507" max="10507" width="14.875" style="62" customWidth="1"/>
    <col min="10508" max="10511" width="10.625" style="62" customWidth="1"/>
    <col min="10512" max="10752" width="9" style="62"/>
    <col min="10753" max="10753" width="11.125" style="62" bestFit="1" customWidth="1"/>
    <col min="10754" max="10754" width="3.375" style="62" bestFit="1" customWidth="1"/>
    <col min="10755" max="10755" width="18.75" style="62" customWidth="1"/>
    <col min="10756" max="10757" width="12.375" style="62" bestFit="1" customWidth="1"/>
    <col min="10758" max="10760" width="13.625" style="62" bestFit="1" customWidth="1"/>
    <col min="10761" max="10762" width="11.25" style="62" bestFit="1" customWidth="1"/>
    <col min="10763" max="10763" width="14.875" style="62" customWidth="1"/>
    <col min="10764" max="10767" width="10.625" style="62" customWidth="1"/>
    <col min="10768" max="11008" width="9" style="62"/>
    <col min="11009" max="11009" width="11.125" style="62" bestFit="1" customWidth="1"/>
    <col min="11010" max="11010" width="3.375" style="62" bestFit="1" customWidth="1"/>
    <col min="11011" max="11011" width="18.75" style="62" customWidth="1"/>
    <col min="11012" max="11013" width="12.375" style="62" bestFit="1" customWidth="1"/>
    <col min="11014" max="11016" width="13.625" style="62" bestFit="1" customWidth="1"/>
    <col min="11017" max="11018" width="11.25" style="62" bestFit="1" customWidth="1"/>
    <col min="11019" max="11019" width="14.875" style="62" customWidth="1"/>
    <col min="11020" max="11023" width="10.625" style="62" customWidth="1"/>
    <col min="11024" max="11264" width="9" style="62"/>
    <col min="11265" max="11265" width="11.125" style="62" bestFit="1" customWidth="1"/>
    <col min="11266" max="11266" width="3.375" style="62" bestFit="1" customWidth="1"/>
    <col min="11267" max="11267" width="18.75" style="62" customWidth="1"/>
    <col min="11268" max="11269" width="12.375" style="62" bestFit="1" customWidth="1"/>
    <col min="11270" max="11272" width="13.625" style="62" bestFit="1" customWidth="1"/>
    <col min="11273" max="11274" width="11.25" style="62" bestFit="1" customWidth="1"/>
    <col min="11275" max="11275" width="14.875" style="62" customWidth="1"/>
    <col min="11276" max="11279" width="10.625" style="62" customWidth="1"/>
    <col min="11280" max="11520" width="9" style="62"/>
    <col min="11521" max="11521" width="11.125" style="62" bestFit="1" customWidth="1"/>
    <col min="11522" max="11522" width="3.375" style="62" bestFit="1" customWidth="1"/>
    <col min="11523" max="11523" width="18.75" style="62" customWidth="1"/>
    <col min="11524" max="11525" width="12.375" style="62" bestFit="1" customWidth="1"/>
    <col min="11526" max="11528" width="13.625" style="62" bestFit="1" customWidth="1"/>
    <col min="11529" max="11530" width="11.25" style="62" bestFit="1" customWidth="1"/>
    <col min="11531" max="11531" width="14.875" style="62" customWidth="1"/>
    <col min="11532" max="11535" width="10.625" style="62" customWidth="1"/>
    <col min="11536" max="11776" width="9" style="62"/>
    <col min="11777" max="11777" width="11.125" style="62" bestFit="1" customWidth="1"/>
    <col min="11778" max="11778" width="3.375" style="62" bestFit="1" customWidth="1"/>
    <col min="11779" max="11779" width="18.75" style="62" customWidth="1"/>
    <col min="11780" max="11781" width="12.375" style="62" bestFit="1" customWidth="1"/>
    <col min="11782" max="11784" width="13.625" style="62" bestFit="1" customWidth="1"/>
    <col min="11785" max="11786" width="11.25" style="62" bestFit="1" customWidth="1"/>
    <col min="11787" max="11787" width="14.875" style="62" customWidth="1"/>
    <col min="11788" max="11791" width="10.625" style="62" customWidth="1"/>
    <col min="11792" max="12032" width="9" style="62"/>
    <col min="12033" max="12033" width="11.125" style="62" bestFit="1" customWidth="1"/>
    <col min="12034" max="12034" width="3.375" style="62" bestFit="1" customWidth="1"/>
    <col min="12035" max="12035" width="18.75" style="62" customWidth="1"/>
    <col min="12036" max="12037" width="12.375" style="62" bestFit="1" customWidth="1"/>
    <col min="12038" max="12040" width="13.625" style="62" bestFit="1" customWidth="1"/>
    <col min="12041" max="12042" width="11.25" style="62" bestFit="1" customWidth="1"/>
    <col min="12043" max="12043" width="14.875" style="62" customWidth="1"/>
    <col min="12044" max="12047" width="10.625" style="62" customWidth="1"/>
    <col min="12048" max="12288" width="9" style="62"/>
    <col min="12289" max="12289" width="11.125" style="62" bestFit="1" customWidth="1"/>
    <col min="12290" max="12290" width="3.375" style="62" bestFit="1" customWidth="1"/>
    <col min="12291" max="12291" width="18.75" style="62" customWidth="1"/>
    <col min="12292" max="12293" width="12.375" style="62" bestFit="1" customWidth="1"/>
    <col min="12294" max="12296" width="13.625" style="62" bestFit="1" customWidth="1"/>
    <col min="12297" max="12298" width="11.25" style="62" bestFit="1" customWidth="1"/>
    <col min="12299" max="12299" width="14.875" style="62" customWidth="1"/>
    <col min="12300" max="12303" width="10.625" style="62" customWidth="1"/>
    <col min="12304" max="12544" width="9" style="62"/>
    <col min="12545" max="12545" width="11.125" style="62" bestFit="1" customWidth="1"/>
    <col min="12546" max="12546" width="3.375" style="62" bestFit="1" customWidth="1"/>
    <col min="12547" max="12547" width="18.75" style="62" customWidth="1"/>
    <col min="12548" max="12549" width="12.375" style="62" bestFit="1" customWidth="1"/>
    <col min="12550" max="12552" width="13.625" style="62" bestFit="1" customWidth="1"/>
    <col min="12553" max="12554" width="11.25" style="62" bestFit="1" customWidth="1"/>
    <col min="12555" max="12555" width="14.875" style="62" customWidth="1"/>
    <col min="12556" max="12559" width="10.625" style="62" customWidth="1"/>
    <col min="12560" max="12800" width="9" style="62"/>
    <col min="12801" max="12801" width="11.125" style="62" bestFit="1" customWidth="1"/>
    <col min="12802" max="12802" width="3.375" style="62" bestFit="1" customWidth="1"/>
    <col min="12803" max="12803" width="18.75" style="62" customWidth="1"/>
    <col min="12804" max="12805" width="12.375" style="62" bestFit="1" customWidth="1"/>
    <col min="12806" max="12808" width="13.625" style="62" bestFit="1" customWidth="1"/>
    <col min="12809" max="12810" width="11.25" style="62" bestFit="1" customWidth="1"/>
    <col min="12811" max="12811" width="14.875" style="62" customWidth="1"/>
    <col min="12812" max="12815" width="10.625" style="62" customWidth="1"/>
    <col min="12816" max="13056" width="9" style="62"/>
    <col min="13057" max="13057" width="11.125" style="62" bestFit="1" customWidth="1"/>
    <col min="13058" max="13058" width="3.375" style="62" bestFit="1" customWidth="1"/>
    <col min="13059" max="13059" width="18.75" style="62" customWidth="1"/>
    <col min="13060" max="13061" width="12.375" style="62" bestFit="1" customWidth="1"/>
    <col min="13062" max="13064" width="13.625" style="62" bestFit="1" customWidth="1"/>
    <col min="13065" max="13066" width="11.25" style="62" bestFit="1" customWidth="1"/>
    <col min="13067" max="13067" width="14.875" style="62" customWidth="1"/>
    <col min="13068" max="13071" width="10.625" style="62" customWidth="1"/>
    <col min="13072" max="13312" width="9" style="62"/>
    <col min="13313" max="13313" width="11.125" style="62" bestFit="1" customWidth="1"/>
    <col min="13314" max="13314" width="3.375" style="62" bestFit="1" customWidth="1"/>
    <col min="13315" max="13315" width="18.75" style="62" customWidth="1"/>
    <col min="13316" max="13317" width="12.375" style="62" bestFit="1" customWidth="1"/>
    <col min="13318" max="13320" width="13.625" style="62" bestFit="1" customWidth="1"/>
    <col min="13321" max="13322" width="11.25" style="62" bestFit="1" customWidth="1"/>
    <col min="13323" max="13323" width="14.875" style="62" customWidth="1"/>
    <col min="13324" max="13327" width="10.625" style="62" customWidth="1"/>
    <col min="13328" max="13568" width="9" style="62"/>
    <col min="13569" max="13569" width="11.125" style="62" bestFit="1" customWidth="1"/>
    <col min="13570" max="13570" width="3.375" style="62" bestFit="1" customWidth="1"/>
    <col min="13571" max="13571" width="18.75" style="62" customWidth="1"/>
    <col min="13572" max="13573" width="12.375" style="62" bestFit="1" customWidth="1"/>
    <col min="13574" max="13576" width="13.625" style="62" bestFit="1" customWidth="1"/>
    <col min="13577" max="13578" width="11.25" style="62" bestFit="1" customWidth="1"/>
    <col min="13579" max="13579" width="14.875" style="62" customWidth="1"/>
    <col min="13580" max="13583" width="10.625" style="62" customWidth="1"/>
    <col min="13584" max="13824" width="9" style="62"/>
    <col min="13825" max="13825" width="11.125" style="62" bestFit="1" customWidth="1"/>
    <col min="13826" max="13826" width="3.375" style="62" bestFit="1" customWidth="1"/>
    <col min="13827" max="13827" width="18.75" style="62" customWidth="1"/>
    <col min="13828" max="13829" width="12.375" style="62" bestFit="1" customWidth="1"/>
    <col min="13830" max="13832" width="13.625" style="62" bestFit="1" customWidth="1"/>
    <col min="13833" max="13834" width="11.25" style="62" bestFit="1" customWidth="1"/>
    <col min="13835" max="13835" width="14.875" style="62" customWidth="1"/>
    <col min="13836" max="13839" width="10.625" style="62" customWidth="1"/>
    <col min="13840" max="14080" width="9" style="62"/>
    <col min="14081" max="14081" width="11.125" style="62" bestFit="1" customWidth="1"/>
    <col min="14082" max="14082" width="3.375" style="62" bestFit="1" customWidth="1"/>
    <col min="14083" max="14083" width="18.75" style="62" customWidth="1"/>
    <col min="14084" max="14085" width="12.375" style="62" bestFit="1" customWidth="1"/>
    <col min="14086" max="14088" width="13.625" style="62" bestFit="1" customWidth="1"/>
    <col min="14089" max="14090" width="11.25" style="62" bestFit="1" customWidth="1"/>
    <col min="14091" max="14091" width="14.875" style="62" customWidth="1"/>
    <col min="14092" max="14095" width="10.625" style="62" customWidth="1"/>
    <col min="14096" max="14336" width="9" style="62"/>
    <col min="14337" max="14337" width="11.125" style="62" bestFit="1" customWidth="1"/>
    <col min="14338" max="14338" width="3.375" style="62" bestFit="1" customWidth="1"/>
    <col min="14339" max="14339" width="18.75" style="62" customWidth="1"/>
    <col min="14340" max="14341" width="12.375" style="62" bestFit="1" customWidth="1"/>
    <col min="14342" max="14344" width="13.625" style="62" bestFit="1" customWidth="1"/>
    <col min="14345" max="14346" width="11.25" style="62" bestFit="1" customWidth="1"/>
    <col min="14347" max="14347" width="14.875" style="62" customWidth="1"/>
    <col min="14348" max="14351" width="10.625" style="62" customWidth="1"/>
    <col min="14352" max="14592" width="9" style="62"/>
    <col min="14593" max="14593" width="11.125" style="62" bestFit="1" customWidth="1"/>
    <col min="14594" max="14594" width="3.375" style="62" bestFit="1" customWidth="1"/>
    <col min="14595" max="14595" width="18.75" style="62" customWidth="1"/>
    <col min="14596" max="14597" width="12.375" style="62" bestFit="1" customWidth="1"/>
    <col min="14598" max="14600" width="13.625" style="62" bestFit="1" customWidth="1"/>
    <col min="14601" max="14602" width="11.25" style="62" bestFit="1" customWidth="1"/>
    <col min="14603" max="14603" width="14.875" style="62" customWidth="1"/>
    <col min="14604" max="14607" width="10.625" style="62" customWidth="1"/>
    <col min="14608" max="14848" width="9" style="62"/>
    <col min="14849" max="14849" width="11.125" style="62" bestFit="1" customWidth="1"/>
    <col min="14850" max="14850" width="3.375" style="62" bestFit="1" customWidth="1"/>
    <col min="14851" max="14851" width="18.75" style="62" customWidth="1"/>
    <col min="14852" max="14853" width="12.375" style="62" bestFit="1" customWidth="1"/>
    <col min="14854" max="14856" width="13.625" style="62" bestFit="1" customWidth="1"/>
    <col min="14857" max="14858" width="11.25" style="62" bestFit="1" customWidth="1"/>
    <col min="14859" max="14859" width="14.875" style="62" customWidth="1"/>
    <col min="14860" max="14863" width="10.625" style="62" customWidth="1"/>
    <col min="14864" max="15104" width="9" style="62"/>
    <col min="15105" max="15105" width="11.125" style="62" bestFit="1" customWidth="1"/>
    <col min="15106" max="15106" width="3.375" style="62" bestFit="1" customWidth="1"/>
    <col min="15107" max="15107" width="18.75" style="62" customWidth="1"/>
    <col min="15108" max="15109" width="12.375" style="62" bestFit="1" customWidth="1"/>
    <col min="15110" max="15112" width="13.625" style="62" bestFit="1" customWidth="1"/>
    <col min="15113" max="15114" width="11.25" style="62" bestFit="1" customWidth="1"/>
    <col min="15115" max="15115" width="14.875" style="62" customWidth="1"/>
    <col min="15116" max="15119" width="10.625" style="62" customWidth="1"/>
    <col min="15120" max="15360" width="9" style="62"/>
    <col min="15361" max="15361" width="11.125" style="62" bestFit="1" customWidth="1"/>
    <col min="15362" max="15362" width="3.375" style="62" bestFit="1" customWidth="1"/>
    <col min="15363" max="15363" width="18.75" style="62" customWidth="1"/>
    <col min="15364" max="15365" width="12.375" style="62" bestFit="1" customWidth="1"/>
    <col min="15366" max="15368" width="13.625" style="62" bestFit="1" customWidth="1"/>
    <col min="15369" max="15370" width="11.25" style="62" bestFit="1" customWidth="1"/>
    <col min="15371" max="15371" width="14.875" style="62" customWidth="1"/>
    <col min="15372" max="15375" width="10.625" style="62" customWidth="1"/>
    <col min="15376" max="15616" width="9" style="62"/>
    <col min="15617" max="15617" width="11.125" style="62" bestFit="1" customWidth="1"/>
    <col min="15618" max="15618" width="3.375" style="62" bestFit="1" customWidth="1"/>
    <col min="15619" max="15619" width="18.75" style="62" customWidth="1"/>
    <col min="15620" max="15621" width="12.375" style="62" bestFit="1" customWidth="1"/>
    <col min="15622" max="15624" width="13.625" style="62" bestFit="1" customWidth="1"/>
    <col min="15625" max="15626" width="11.25" style="62" bestFit="1" customWidth="1"/>
    <col min="15627" max="15627" width="14.875" style="62" customWidth="1"/>
    <col min="15628" max="15631" width="10.625" style="62" customWidth="1"/>
    <col min="15632" max="15872" width="9" style="62"/>
    <col min="15873" max="15873" width="11.125" style="62" bestFit="1" customWidth="1"/>
    <col min="15874" max="15874" width="3.375" style="62" bestFit="1" customWidth="1"/>
    <col min="15875" max="15875" width="18.75" style="62" customWidth="1"/>
    <col min="15876" max="15877" width="12.375" style="62" bestFit="1" customWidth="1"/>
    <col min="15878" max="15880" width="13.625" style="62" bestFit="1" customWidth="1"/>
    <col min="15881" max="15882" width="11.25" style="62" bestFit="1" customWidth="1"/>
    <col min="15883" max="15883" width="14.875" style="62" customWidth="1"/>
    <col min="15884" max="15887" width="10.625" style="62" customWidth="1"/>
    <col min="15888" max="16128" width="9" style="62"/>
    <col min="16129" max="16129" width="11.125" style="62" bestFit="1" customWidth="1"/>
    <col min="16130" max="16130" width="3.375" style="62" bestFit="1" customWidth="1"/>
    <col min="16131" max="16131" width="18.75" style="62" customWidth="1"/>
    <col min="16132" max="16133" width="12.375" style="62" bestFit="1" customWidth="1"/>
    <col min="16134" max="16136" width="13.625" style="62" bestFit="1" customWidth="1"/>
    <col min="16137" max="16138" width="11.25" style="62" bestFit="1" customWidth="1"/>
    <col min="16139" max="16139" width="14.875" style="62" customWidth="1"/>
    <col min="16140" max="16143" width="10.625" style="62" customWidth="1"/>
    <col min="16144" max="16384" width="9" style="62"/>
  </cols>
  <sheetData>
    <row r="1" spans="1:15" ht="27" customHeight="1" x14ac:dyDescent="0.15">
      <c r="A1" s="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27" customHeight="1" x14ac:dyDescent="0.2">
      <c r="A2" s="63" t="s">
        <v>102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ht="27" customHeight="1" thickBot="1" x14ac:dyDescent="0.2">
      <c r="A3" s="64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169"/>
      <c r="O3" s="65" t="s">
        <v>103</v>
      </c>
    </row>
    <row r="4" spans="1:15" ht="20.100000000000001" customHeight="1" x14ac:dyDescent="0.15">
      <c r="A4" s="751" t="s">
        <v>62</v>
      </c>
      <c r="B4" s="752" t="s">
        <v>3</v>
      </c>
      <c r="C4" s="752"/>
      <c r="D4" s="752" t="s">
        <v>104</v>
      </c>
      <c r="E4" s="752"/>
      <c r="F4" s="752" t="s">
        <v>105</v>
      </c>
      <c r="G4" s="752"/>
      <c r="H4" s="170" t="s">
        <v>77</v>
      </c>
      <c r="I4" s="752" t="s">
        <v>106</v>
      </c>
      <c r="J4" s="752"/>
      <c r="K4" s="171" t="s">
        <v>107</v>
      </c>
      <c r="L4" s="752" t="s">
        <v>69</v>
      </c>
      <c r="M4" s="752"/>
      <c r="N4" s="752"/>
      <c r="O4" s="753"/>
    </row>
    <row r="5" spans="1:15" ht="15.95" customHeight="1" x14ac:dyDescent="0.15">
      <c r="A5" s="747"/>
      <c r="B5" s="745"/>
      <c r="C5" s="745"/>
      <c r="D5" s="745" t="s">
        <v>108</v>
      </c>
      <c r="E5" s="745" t="s">
        <v>80</v>
      </c>
      <c r="F5" s="745" t="s">
        <v>72</v>
      </c>
      <c r="G5" s="745" t="s">
        <v>80</v>
      </c>
      <c r="H5" s="172"/>
      <c r="I5" s="745" t="s">
        <v>109</v>
      </c>
      <c r="J5" s="745" t="s">
        <v>80</v>
      </c>
      <c r="K5" s="745" t="s">
        <v>74</v>
      </c>
      <c r="L5" s="173" t="s">
        <v>110</v>
      </c>
      <c r="M5" s="173" t="s">
        <v>76</v>
      </c>
      <c r="N5" s="746" t="s">
        <v>77</v>
      </c>
      <c r="O5" s="174" t="s">
        <v>111</v>
      </c>
    </row>
    <row r="6" spans="1:15" ht="15.95" customHeight="1" x14ac:dyDescent="0.15">
      <c r="A6" s="747"/>
      <c r="B6" s="745"/>
      <c r="C6" s="745"/>
      <c r="D6" s="745"/>
      <c r="E6" s="745"/>
      <c r="F6" s="745"/>
      <c r="G6" s="745"/>
      <c r="H6" s="175" t="s">
        <v>79</v>
      </c>
      <c r="I6" s="745"/>
      <c r="J6" s="745"/>
      <c r="K6" s="745"/>
      <c r="L6" s="176" t="s">
        <v>80</v>
      </c>
      <c r="M6" s="176" t="s">
        <v>80</v>
      </c>
      <c r="N6" s="746"/>
      <c r="O6" s="177" t="s">
        <v>80</v>
      </c>
    </row>
    <row r="7" spans="1:15" ht="19.5" hidden="1" customHeight="1" x14ac:dyDescent="0.15">
      <c r="A7" s="747" t="s">
        <v>112</v>
      </c>
      <c r="B7" s="748" t="s">
        <v>113</v>
      </c>
      <c r="C7" s="748"/>
      <c r="D7" s="178">
        <v>10737854</v>
      </c>
      <c r="E7" s="178">
        <v>10192464</v>
      </c>
      <c r="F7" s="178">
        <v>247661338</v>
      </c>
      <c r="G7" s="178">
        <v>246771008</v>
      </c>
      <c r="H7" s="178">
        <v>246771008</v>
      </c>
      <c r="I7" s="178">
        <v>113128</v>
      </c>
      <c r="J7" s="178">
        <v>102205</v>
      </c>
      <c r="K7" s="178">
        <f t="shared" ref="K7:K18" si="0">ROUND((F7*1000)/D7,0)</f>
        <v>23064</v>
      </c>
      <c r="L7" s="179">
        <v>100.1</v>
      </c>
      <c r="M7" s="179">
        <v>104.5</v>
      </c>
      <c r="N7" s="179">
        <v>104.5</v>
      </c>
      <c r="O7" s="180">
        <v>99.3</v>
      </c>
    </row>
    <row r="8" spans="1:15" ht="20.100000000000001" hidden="1" customHeight="1" x14ac:dyDescent="0.15">
      <c r="A8" s="747"/>
      <c r="B8" s="749" t="s">
        <v>114</v>
      </c>
      <c r="C8" s="749"/>
      <c r="D8" s="85">
        <v>13112272</v>
      </c>
      <c r="E8" s="85">
        <v>13084798</v>
      </c>
      <c r="F8" s="85">
        <v>672283944</v>
      </c>
      <c r="G8" s="85">
        <v>672191316</v>
      </c>
      <c r="H8" s="85">
        <v>669122258</v>
      </c>
      <c r="I8" s="85">
        <v>51915</v>
      </c>
      <c r="J8" s="85">
        <v>51023</v>
      </c>
      <c r="K8" s="85">
        <f t="shared" si="0"/>
        <v>51271</v>
      </c>
      <c r="L8" s="181">
        <v>102.3</v>
      </c>
      <c r="M8" s="181">
        <v>104.8</v>
      </c>
      <c r="N8" s="181">
        <v>104.8</v>
      </c>
      <c r="O8" s="182">
        <v>101.5</v>
      </c>
    </row>
    <row r="9" spans="1:15" ht="19.5" hidden="1" customHeight="1" x14ac:dyDescent="0.15">
      <c r="A9" s="747"/>
      <c r="B9" s="750" t="s">
        <v>29</v>
      </c>
      <c r="C9" s="709"/>
      <c r="D9" s="89">
        <f>D7+D8</f>
        <v>23850126</v>
      </c>
      <c r="E9" s="89">
        <f t="shared" ref="E9:J9" si="1">E7+E8</f>
        <v>23277262</v>
      </c>
      <c r="F9" s="89">
        <f t="shared" si="1"/>
        <v>919945282</v>
      </c>
      <c r="G9" s="89">
        <f t="shared" si="1"/>
        <v>918962324</v>
      </c>
      <c r="H9" s="89">
        <f t="shared" si="1"/>
        <v>915893266</v>
      </c>
      <c r="I9" s="89">
        <f t="shared" si="1"/>
        <v>165043</v>
      </c>
      <c r="J9" s="89">
        <f t="shared" si="1"/>
        <v>153228</v>
      </c>
      <c r="K9" s="89">
        <f t="shared" si="0"/>
        <v>38572</v>
      </c>
      <c r="L9" s="183">
        <v>101.4</v>
      </c>
      <c r="M9" s="183">
        <v>104.7</v>
      </c>
      <c r="N9" s="183">
        <v>104.7</v>
      </c>
      <c r="O9" s="184">
        <v>100</v>
      </c>
    </row>
    <row r="10" spans="1:15" ht="20.100000000000001" hidden="1" customHeight="1" x14ac:dyDescent="0.15">
      <c r="A10" s="747" t="s">
        <v>115</v>
      </c>
      <c r="B10" s="757" t="s">
        <v>116</v>
      </c>
      <c r="C10" s="758"/>
      <c r="D10" s="178">
        <v>10724870</v>
      </c>
      <c r="E10" s="178">
        <v>10198500</v>
      </c>
      <c r="F10" s="178">
        <v>223394868</v>
      </c>
      <c r="G10" s="178">
        <v>222528278</v>
      </c>
      <c r="H10" s="178">
        <v>222528278</v>
      </c>
      <c r="I10" s="178">
        <v>111994</v>
      </c>
      <c r="J10" s="178">
        <v>101350</v>
      </c>
      <c r="K10" s="178">
        <f t="shared" si="0"/>
        <v>20830</v>
      </c>
      <c r="L10" s="179">
        <f t="shared" ref="L10:L73" si="2">ROUND((E10/E7)*100,1)</f>
        <v>100.1</v>
      </c>
      <c r="M10" s="179">
        <f t="shared" ref="M10:N25" si="3">ROUND((G10/G7)*100,1)</f>
        <v>90.2</v>
      </c>
      <c r="N10" s="179">
        <f t="shared" si="3"/>
        <v>90.2</v>
      </c>
      <c r="O10" s="180">
        <f t="shared" ref="O10:O18" si="4">ROUND((J10/J7)*100,1)</f>
        <v>99.2</v>
      </c>
    </row>
    <row r="11" spans="1:15" ht="20.100000000000001" hidden="1" customHeight="1" x14ac:dyDescent="0.15">
      <c r="A11" s="747"/>
      <c r="B11" s="749" t="s">
        <v>117</v>
      </c>
      <c r="C11" s="749"/>
      <c r="D11" s="85">
        <v>13335567</v>
      </c>
      <c r="E11" s="85">
        <v>13306686</v>
      </c>
      <c r="F11" s="85">
        <v>643016354</v>
      </c>
      <c r="G11" s="85">
        <v>642920644</v>
      </c>
      <c r="H11" s="85">
        <v>640039977</v>
      </c>
      <c r="I11" s="85">
        <v>52584</v>
      </c>
      <c r="J11" s="85">
        <v>51628</v>
      </c>
      <c r="K11" s="85">
        <f t="shared" si="0"/>
        <v>48218</v>
      </c>
      <c r="L11" s="181">
        <f t="shared" si="2"/>
        <v>101.7</v>
      </c>
      <c r="M11" s="181">
        <f t="shared" si="3"/>
        <v>95.6</v>
      </c>
      <c r="N11" s="181">
        <f t="shared" si="3"/>
        <v>95.7</v>
      </c>
      <c r="O11" s="182">
        <f t="shared" si="4"/>
        <v>101.2</v>
      </c>
    </row>
    <row r="12" spans="1:15" ht="20.100000000000001" hidden="1" customHeight="1" x14ac:dyDescent="0.15">
      <c r="A12" s="747"/>
      <c r="B12" s="750" t="s">
        <v>29</v>
      </c>
      <c r="C12" s="709"/>
      <c r="D12" s="89">
        <f>D10+D11</f>
        <v>24060437</v>
      </c>
      <c r="E12" s="89">
        <f t="shared" ref="E12:J12" si="5">E10+E11</f>
        <v>23505186</v>
      </c>
      <c r="F12" s="89">
        <f t="shared" si="5"/>
        <v>866411222</v>
      </c>
      <c r="G12" s="89">
        <f t="shared" si="5"/>
        <v>865448922</v>
      </c>
      <c r="H12" s="89">
        <f t="shared" si="5"/>
        <v>862568255</v>
      </c>
      <c r="I12" s="89">
        <f t="shared" si="5"/>
        <v>164578</v>
      </c>
      <c r="J12" s="89">
        <f t="shared" si="5"/>
        <v>152978</v>
      </c>
      <c r="K12" s="89">
        <f t="shared" si="0"/>
        <v>36010</v>
      </c>
      <c r="L12" s="183">
        <f t="shared" si="2"/>
        <v>101</v>
      </c>
      <c r="M12" s="183">
        <f t="shared" si="3"/>
        <v>94.2</v>
      </c>
      <c r="N12" s="183">
        <f t="shared" si="3"/>
        <v>94.2</v>
      </c>
      <c r="O12" s="184">
        <f t="shared" si="4"/>
        <v>99.8</v>
      </c>
    </row>
    <row r="13" spans="1:15" ht="20.100000000000001" hidden="1" customHeight="1" x14ac:dyDescent="0.15">
      <c r="A13" s="747" t="s">
        <v>118</v>
      </c>
      <c r="B13" s="757" t="s">
        <v>116</v>
      </c>
      <c r="C13" s="758"/>
      <c r="D13" s="178">
        <v>10765067</v>
      </c>
      <c r="E13" s="178">
        <v>10255302</v>
      </c>
      <c r="F13" s="178">
        <v>234949483</v>
      </c>
      <c r="G13" s="178">
        <v>234107163</v>
      </c>
      <c r="H13" s="178">
        <v>234107163</v>
      </c>
      <c r="I13" s="178">
        <v>111177</v>
      </c>
      <c r="J13" s="178">
        <v>100844</v>
      </c>
      <c r="K13" s="178">
        <f t="shared" si="0"/>
        <v>21825</v>
      </c>
      <c r="L13" s="179">
        <f t="shared" si="2"/>
        <v>100.6</v>
      </c>
      <c r="M13" s="179">
        <f t="shared" si="3"/>
        <v>105.2</v>
      </c>
      <c r="N13" s="179">
        <f t="shared" si="3"/>
        <v>105.2</v>
      </c>
      <c r="O13" s="180">
        <f t="shared" si="4"/>
        <v>99.5</v>
      </c>
    </row>
    <row r="14" spans="1:15" ht="20.100000000000001" hidden="1" customHeight="1" x14ac:dyDescent="0.15">
      <c r="A14" s="747"/>
      <c r="B14" s="749" t="s">
        <v>117</v>
      </c>
      <c r="C14" s="749"/>
      <c r="D14" s="85">
        <v>13537320</v>
      </c>
      <c r="E14" s="85">
        <v>13507777</v>
      </c>
      <c r="F14" s="85">
        <v>667797647</v>
      </c>
      <c r="G14" s="85">
        <v>667699275</v>
      </c>
      <c r="H14" s="85">
        <v>664591809</v>
      </c>
      <c r="I14" s="85">
        <v>53044</v>
      </c>
      <c r="J14" s="85">
        <v>52066</v>
      </c>
      <c r="K14" s="85">
        <f t="shared" si="0"/>
        <v>49330</v>
      </c>
      <c r="L14" s="181">
        <f t="shared" si="2"/>
        <v>101.5</v>
      </c>
      <c r="M14" s="181">
        <f t="shared" si="3"/>
        <v>103.9</v>
      </c>
      <c r="N14" s="181">
        <f t="shared" si="3"/>
        <v>103.8</v>
      </c>
      <c r="O14" s="182">
        <f t="shared" si="4"/>
        <v>100.8</v>
      </c>
    </row>
    <row r="15" spans="1:15" ht="20.100000000000001" hidden="1" customHeight="1" x14ac:dyDescent="0.15">
      <c r="A15" s="747"/>
      <c r="B15" s="745" t="s">
        <v>29</v>
      </c>
      <c r="C15" s="745"/>
      <c r="D15" s="89">
        <f>D13+D14</f>
        <v>24302387</v>
      </c>
      <c r="E15" s="89">
        <f t="shared" ref="E15:J15" si="6">E13+E14</f>
        <v>23763079</v>
      </c>
      <c r="F15" s="89">
        <f t="shared" si="6"/>
        <v>902747130</v>
      </c>
      <c r="G15" s="89">
        <f t="shared" si="6"/>
        <v>901806438</v>
      </c>
      <c r="H15" s="89">
        <f t="shared" si="6"/>
        <v>898698972</v>
      </c>
      <c r="I15" s="89">
        <f t="shared" si="6"/>
        <v>164221</v>
      </c>
      <c r="J15" s="89">
        <f t="shared" si="6"/>
        <v>152910</v>
      </c>
      <c r="K15" s="89">
        <f t="shared" si="0"/>
        <v>37146</v>
      </c>
      <c r="L15" s="183">
        <f t="shared" si="2"/>
        <v>101.1</v>
      </c>
      <c r="M15" s="183">
        <f t="shared" si="3"/>
        <v>104.2</v>
      </c>
      <c r="N15" s="183">
        <f t="shared" si="3"/>
        <v>104.2</v>
      </c>
      <c r="O15" s="184">
        <f t="shared" si="4"/>
        <v>100</v>
      </c>
    </row>
    <row r="16" spans="1:15" ht="24.95" hidden="1" customHeight="1" x14ac:dyDescent="0.15">
      <c r="A16" s="754" t="s">
        <v>119</v>
      </c>
      <c r="B16" s="757" t="s">
        <v>116</v>
      </c>
      <c r="C16" s="758"/>
      <c r="D16" s="178">
        <v>10826553</v>
      </c>
      <c r="E16" s="178">
        <v>10329510</v>
      </c>
      <c r="F16" s="178">
        <v>246199239</v>
      </c>
      <c r="G16" s="178">
        <v>245375519</v>
      </c>
      <c r="H16" s="178">
        <v>245375519</v>
      </c>
      <c r="I16" s="178">
        <v>110812</v>
      </c>
      <c r="J16" s="178">
        <v>100721</v>
      </c>
      <c r="K16" s="178">
        <f t="shared" si="0"/>
        <v>22740</v>
      </c>
      <c r="L16" s="179">
        <f t="shared" si="2"/>
        <v>100.7</v>
      </c>
      <c r="M16" s="179">
        <f t="shared" si="3"/>
        <v>104.8</v>
      </c>
      <c r="N16" s="179">
        <f t="shared" si="3"/>
        <v>104.8</v>
      </c>
      <c r="O16" s="180">
        <f t="shared" si="4"/>
        <v>99.9</v>
      </c>
    </row>
    <row r="17" spans="1:15" ht="24.95" hidden="1" customHeight="1" x14ac:dyDescent="0.15">
      <c r="A17" s="755"/>
      <c r="B17" s="749" t="s">
        <v>117</v>
      </c>
      <c r="C17" s="749"/>
      <c r="D17" s="85">
        <v>13728032</v>
      </c>
      <c r="E17" s="85">
        <v>13698491</v>
      </c>
      <c r="F17" s="85">
        <v>691857232</v>
      </c>
      <c r="G17" s="85">
        <v>691758778</v>
      </c>
      <c r="H17" s="85">
        <v>688723931</v>
      </c>
      <c r="I17" s="85">
        <v>53417</v>
      </c>
      <c r="J17" s="85">
        <v>52439</v>
      </c>
      <c r="K17" s="85">
        <f t="shared" si="0"/>
        <v>50397</v>
      </c>
      <c r="L17" s="181">
        <f t="shared" si="2"/>
        <v>101.4</v>
      </c>
      <c r="M17" s="181">
        <f t="shared" si="3"/>
        <v>103.6</v>
      </c>
      <c r="N17" s="181">
        <f t="shared" si="3"/>
        <v>103.6</v>
      </c>
      <c r="O17" s="182">
        <f t="shared" si="4"/>
        <v>100.7</v>
      </c>
    </row>
    <row r="18" spans="1:15" ht="24.95" hidden="1" customHeight="1" x14ac:dyDescent="0.15">
      <c r="A18" s="756"/>
      <c r="B18" s="745" t="s">
        <v>29</v>
      </c>
      <c r="C18" s="745"/>
      <c r="D18" s="89">
        <f>D16+D17</f>
        <v>24554585</v>
      </c>
      <c r="E18" s="89">
        <f t="shared" ref="E18:J18" si="7">E16+E17</f>
        <v>24028001</v>
      </c>
      <c r="F18" s="89">
        <f t="shared" si="7"/>
        <v>938056471</v>
      </c>
      <c r="G18" s="89">
        <f t="shared" si="7"/>
        <v>937134297</v>
      </c>
      <c r="H18" s="89">
        <f t="shared" si="7"/>
        <v>934099450</v>
      </c>
      <c r="I18" s="89">
        <f t="shared" si="7"/>
        <v>164229</v>
      </c>
      <c r="J18" s="89">
        <f t="shared" si="7"/>
        <v>153160</v>
      </c>
      <c r="K18" s="89">
        <f t="shared" si="0"/>
        <v>38203</v>
      </c>
      <c r="L18" s="183">
        <f t="shared" si="2"/>
        <v>101.1</v>
      </c>
      <c r="M18" s="183">
        <f t="shared" si="3"/>
        <v>103.9</v>
      </c>
      <c r="N18" s="183">
        <f t="shared" si="3"/>
        <v>103.9</v>
      </c>
      <c r="O18" s="184">
        <f t="shared" si="4"/>
        <v>100.2</v>
      </c>
    </row>
    <row r="19" spans="1:15" ht="24.95" hidden="1" customHeight="1" x14ac:dyDescent="0.15">
      <c r="A19" s="754" t="s">
        <v>120</v>
      </c>
      <c r="B19" s="757" t="s">
        <v>116</v>
      </c>
      <c r="C19" s="758"/>
      <c r="D19" s="178">
        <v>10862204</v>
      </c>
      <c r="E19" s="178">
        <v>10375040</v>
      </c>
      <c r="F19" s="178">
        <v>221136351</v>
      </c>
      <c r="G19" s="178">
        <v>220324731</v>
      </c>
      <c r="H19" s="178">
        <v>220324731</v>
      </c>
      <c r="I19" s="178">
        <v>110202</v>
      </c>
      <c r="J19" s="178">
        <v>100220</v>
      </c>
      <c r="K19" s="178">
        <f>ROUND((F19*1000)/D19,0)</f>
        <v>20358</v>
      </c>
      <c r="L19" s="179">
        <f t="shared" si="2"/>
        <v>100.4</v>
      </c>
      <c r="M19" s="179">
        <f t="shared" si="3"/>
        <v>89.8</v>
      </c>
      <c r="N19" s="179">
        <f t="shared" si="3"/>
        <v>89.8</v>
      </c>
      <c r="O19" s="180">
        <f>ROUND((J19/J16)*100,1)</f>
        <v>99.5</v>
      </c>
    </row>
    <row r="20" spans="1:15" ht="24.95" hidden="1" customHeight="1" x14ac:dyDescent="0.15">
      <c r="A20" s="755"/>
      <c r="B20" s="749" t="s">
        <v>117</v>
      </c>
      <c r="C20" s="749"/>
      <c r="D20" s="85">
        <v>13857778</v>
      </c>
      <c r="E20" s="85">
        <v>13825382</v>
      </c>
      <c r="F20" s="85">
        <v>640765186</v>
      </c>
      <c r="G20" s="85">
        <v>640662117</v>
      </c>
      <c r="H20" s="85">
        <v>637737393</v>
      </c>
      <c r="I20" s="85">
        <v>53711</v>
      </c>
      <c r="J20" s="85">
        <v>52636</v>
      </c>
      <c r="K20" s="85">
        <f>ROUND((F20*1000)/D20,0)</f>
        <v>46239</v>
      </c>
      <c r="L20" s="181">
        <f t="shared" si="2"/>
        <v>100.9</v>
      </c>
      <c r="M20" s="181">
        <f t="shared" si="3"/>
        <v>92.6</v>
      </c>
      <c r="N20" s="181">
        <f t="shared" si="3"/>
        <v>92.6</v>
      </c>
      <c r="O20" s="182">
        <f>ROUND((J20/J17)*100,1)</f>
        <v>100.4</v>
      </c>
    </row>
    <row r="21" spans="1:15" ht="24.95" hidden="1" customHeight="1" x14ac:dyDescent="0.15">
      <c r="A21" s="756"/>
      <c r="B21" s="757" t="s">
        <v>29</v>
      </c>
      <c r="C21" s="709"/>
      <c r="D21" s="178">
        <f t="shared" ref="D21:J21" si="8">D19+D20</f>
        <v>24719982</v>
      </c>
      <c r="E21" s="178">
        <f t="shared" si="8"/>
        <v>24200422</v>
      </c>
      <c r="F21" s="178">
        <f t="shared" si="8"/>
        <v>861901537</v>
      </c>
      <c r="G21" s="178">
        <f t="shared" si="8"/>
        <v>860986848</v>
      </c>
      <c r="H21" s="178">
        <f t="shared" si="8"/>
        <v>858062124</v>
      </c>
      <c r="I21" s="178">
        <f t="shared" si="8"/>
        <v>163913</v>
      </c>
      <c r="J21" s="178">
        <f t="shared" si="8"/>
        <v>152856</v>
      </c>
      <c r="K21" s="89">
        <f>ROUND((F21*1000)/D21,0)</f>
        <v>34867</v>
      </c>
      <c r="L21" s="183">
        <f t="shared" si="2"/>
        <v>100.7</v>
      </c>
      <c r="M21" s="183">
        <f t="shared" si="3"/>
        <v>91.9</v>
      </c>
      <c r="N21" s="183">
        <f t="shared" si="3"/>
        <v>91.9</v>
      </c>
      <c r="O21" s="184">
        <f>ROUND((J21/J18)*100,1)</f>
        <v>99.8</v>
      </c>
    </row>
    <row r="22" spans="1:15" ht="24.95" hidden="1" customHeight="1" x14ac:dyDescent="0.15">
      <c r="A22" s="754" t="s">
        <v>121</v>
      </c>
      <c r="B22" s="757" t="s">
        <v>116</v>
      </c>
      <c r="C22" s="758"/>
      <c r="D22" s="178">
        <v>10945485</v>
      </c>
      <c r="E22" s="178">
        <v>10467098</v>
      </c>
      <c r="F22" s="178">
        <v>233564510</v>
      </c>
      <c r="G22" s="178">
        <v>232767609</v>
      </c>
      <c r="H22" s="178">
        <v>232767609</v>
      </c>
      <c r="I22" s="178">
        <v>110191</v>
      </c>
      <c r="J22" s="178">
        <v>100358</v>
      </c>
      <c r="K22" s="178">
        <f t="shared" ref="K22:K27" si="9">ROUND((F22*1000)/D22,0)</f>
        <v>21339</v>
      </c>
      <c r="L22" s="179">
        <f t="shared" si="2"/>
        <v>100.9</v>
      </c>
      <c r="M22" s="179">
        <f t="shared" si="3"/>
        <v>105.6</v>
      </c>
      <c r="N22" s="179">
        <f t="shared" si="3"/>
        <v>105.6</v>
      </c>
      <c r="O22" s="180">
        <f t="shared" ref="O22:O78" si="10">ROUND((J22/J19)*100,1)</f>
        <v>100.1</v>
      </c>
    </row>
    <row r="23" spans="1:15" ht="24.95" hidden="1" customHeight="1" x14ac:dyDescent="0.15">
      <c r="A23" s="755"/>
      <c r="B23" s="749" t="s">
        <v>117</v>
      </c>
      <c r="C23" s="749"/>
      <c r="D23" s="85">
        <v>13997017</v>
      </c>
      <c r="E23" s="85">
        <v>13964678</v>
      </c>
      <c r="F23" s="85">
        <v>659357762</v>
      </c>
      <c r="G23" s="85">
        <v>659254505</v>
      </c>
      <c r="H23" s="85">
        <v>656329781</v>
      </c>
      <c r="I23" s="85">
        <v>54019</v>
      </c>
      <c r="J23" s="85">
        <v>52941</v>
      </c>
      <c r="K23" s="85">
        <f t="shared" si="9"/>
        <v>47107</v>
      </c>
      <c r="L23" s="181">
        <f t="shared" si="2"/>
        <v>101</v>
      </c>
      <c r="M23" s="181">
        <f t="shared" si="3"/>
        <v>102.9</v>
      </c>
      <c r="N23" s="181">
        <f t="shared" si="3"/>
        <v>102.9</v>
      </c>
      <c r="O23" s="182">
        <f t="shared" si="10"/>
        <v>100.6</v>
      </c>
    </row>
    <row r="24" spans="1:15" ht="24.95" hidden="1" customHeight="1" x14ac:dyDescent="0.15">
      <c r="A24" s="756"/>
      <c r="B24" s="757" t="s">
        <v>29</v>
      </c>
      <c r="C24" s="709"/>
      <c r="D24" s="178">
        <f t="shared" ref="D24:J24" si="11">D22+D23</f>
        <v>24942502</v>
      </c>
      <c r="E24" s="178">
        <f t="shared" si="11"/>
        <v>24431776</v>
      </c>
      <c r="F24" s="178">
        <f t="shared" si="11"/>
        <v>892922272</v>
      </c>
      <c r="G24" s="178">
        <f t="shared" si="11"/>
        <v>892022114</v>
      </c>
      <c r="H24" s="178">
        <f t="shared" si="11"/>
        <v>889097390</v>
      </c>
      <c r="I24" s="178">
        <f t="shared" si="11"/>
        <v>164210</v>
      </c>
      <c r="J24" s="178">
        <f t="shared" si="11"/>
        <v>153299</v>
      </c>
      <c r="K24" s="178">
        <f t="shared" si="9"/>
        <v>35799</v>
      </c>
      <c r="L24" s="179">
        <f t="shared" si="2"/>
        <v>101</v>
      </c>
      <c r="M24" s="179">
        <f t="shared" si="3"/>
        <v>103.6</v>
      </c>
      <c r="N24" s="179">
        <f t="shared" si="3"/>
        <v>103.6</v>
      </c>
      <c r="O24" s="180">
        <f t="shared" si="10"/>
        <v>100.3</v>
      </c>
    </row>
    <row r="25" spans="1:15" ht="24.95" hidden="1" customHeight="1" x14ac:dyDescent="0.15">
      <c r="A25" s="754" t="s">
        <v>122</v>
      </c>
      <c r="B25" s="757" t="s">
        <v>116</v>
      </c>
      <c r="C25" s="722"/>
      <c r="D25" s="178">
        <v>11025859</v>
      </c>
      <c r="E25" s="178">
        <v>10559628</v>
      </c>
      <c r="F25" s="178">
        <v>245894335</v>
      </c>
      <c r="G25" s="178">
        <v>245116218</v>
      </c>
      <c r="H25" s="178">
        <v>245116218</v>
      </c>
      <c r="I25" s="178">
        <v>110134</v>
      </c>
      <c r="J25" s="178">
        <v>100514</v>
      </c>
      <c r="K25" s="178">
        <f t="shared" si="9"/>
        <v>22302</v>
      </c>
      <c r="L25" s="179">
        <f t="shared" si="2"/>
        <v>100.9</v>
      </c>
      <c r="M25" s="179">
        <f t="shared" si="3"/>
        <v>105.3</v>
      </c>
      <c r="N25" s="179">
        <f t="shared" si="3"/>
        <v>105.3</v>
      </c>
      <c r="O25" s="180">
        <f t="shared" si="10"/>
        <v>100.2</v>
      </c>
    </row>
    <row r="26" spans="1:15" ht="24.95" hidden="1" customHeight="1" x14ac:dyDescent="0.15">
      <c r="A26" s="755"/>
      <c r="B26" s="759" t="s">
        <v>117</v>
      </c>
      <c r="C26" s="724"/>
      <c r="D26" s="85">
        <v>14127800</v>
      </c>
      <c r="E26" s="85">
        <v>14095710</v>
      </c>
      <c r="F26" s="85">
        <v>675538353</v>
      </c>
      <c r="G26" s="85">
        <v>675435423</v>
      </c>
      <c r="H26" s="85">
        <v>672496590</v>
      </c>
      <c r="I26" s="85">
        <v>54470</v>
      </c>
      <c r="J26" s="85">
        <v>53395</v>
      </c>
      <c r="K26" s="85">
        <f t="shared" si="9"/>
        <v>47816</v>
      </c>
      <c r="L26" s="181">
        <f t="shared" si="2"/>
        <v>100.9</v>
      </c>
      <c r="M26" s="181">
        <f t="shared" ref="M26:N41" si="12">ROUND((G26/G23)*100,1)</f>
        <v>102.5</v>
      </c>
      <c r="N26" s="181">
        <f t="shared" si="12"/>
        <v>102.5</v>
      </c>
      <c r="O26" s="182">
        <f t="shared" si="10"/>
        <v>100.9</v>
      </c>
    </row>
    <row r="27" spans="1:15" ht="24.95" hidden="1" customHeight="1" x14ac:dyDescent="0.15">
      <c r="A27" s="756"/>
      <c r="B27" s="757" t="s">
        <v>29</v>
      </c>
      <c r="C27" s="709"/>
      <c r="D27" s="178">
        <f t="shared" ref="D27:J27" si="13">D25+D26</f>
        <v>25153659</v>
      </c>
      <c r="E27" s="178">
        <f t="shared" si="13"/>
        <v>24655338</v>
      </c>
      <c r="F27" s="178">
        <f t="shared" si="13"/>
        <v>921432688</v>
      </c>
      <c r="G27" s="178">
        <f t="shared" si="13"/>
        <v>920551641</v>
      </c>
      <c r="H27" s="178">
        <f t="shared" si="13"/>
        <v>917612808</v>
      </c>
      <c r="I27" s="178">
        <f t="shared" si="13"/>
        <v>164604</v>
      </c>
      <c r="J27" s="178">
        <f t="shared" si="13"/>
        <v>153909</v>
      </c>
      <c r="K27" s="178">
        <f t="shared" si="9"/>
        <v>36632</v>
      </c>
      <c r="L27" s="179">
        <f t="shared" si="2"/>
        <v>100.9</v>
      </c>
      <c r="M27" s="179">
        <f t="shared" si="12"/>
        <v>103.2</v>
      </c>
      <c r="N27" s="179">
        <f t="shared" si="12"/>
        <v>103.2</v>
      </c>
      <c r="O27" s="180">
        <f t="shared" si="10"/>
        <v>100.4</v>
      </c>
    </row>
    <row r="28" spans="1:15" ht="24.95" hidden="1" customHeight="1" x14ac:dyDescent="0.15">
      <c r="A28" s="754" t="s">
        <v>123</v>
      </c>
      <c r="B28" s="757" t="s">
        <v>116</v>
      </c>
      <c r="C28" s="722"/>
      <c r="D28" s="178">
        <v>11570304</v>
      </c>
      <c r="E28" s="178">
        <v>11085508</v>
      </c>
      <c r="F28" s="178">
        <v>246298426</v>
      </c>
      <c r="G28" s="178">
        <v>245512730</v>
      </c>
      <c r="H28" s="178">
        <v>245512300</v>
      </c>
      <c r="I28" s="178">
        <v>114017</v>
      </c>
      <c r="J28" s="178">
        <v>104185</v>
      </c>
      <c r="K28" s="178">
        <v>22302</v>
      </c>
      <c r="L28" s="179">
        <f t="shared" si="2"/>
        <v>105</v>
      </c>
      <c r="M28" s="179">
        <f t="shared" si="12"/>
        <v>100.2</v>
      </c>
      <c r="N28" s="179">
        <f t="shared" si="12"/>
        <v>100.2</v>
      </c>
      <c r="O28" s="180">
        <f t="shared" si="10"/>
        <v>103.7</v>
      </c>
    </row>
    <row r="29" spans="1:15" ht="24.95" hidden="1" customHeight="1" x14ac:dyDescent="0.15">
      <c r="A29" s="755"/>
      <c r="B29" s="759" t="s">
        <v>117</v>
      </c>
      <c r="C29" s="724"/>
      <c r="D29" s="85">
        <v>15076650</v>
      </c>
      <c r="E29" s="85">
        <v>15039711</v>
      </c>
      <c r="F29" s="85">
        <v>646547798</v>
      </c>
      <c r="G29" s="85">
        <v>646433099</v>
      </c>
      <c r="H29" s="85">
        <v>643861576</v>
      </c>
      <c r="I29" s="85">
        <v>56980</v>
      </c>
      <c r="J29" s="85">
        <v>55744</v>
      </c>
      <c r="K29" s="85">
        <v>47816</v>
      </c>
      <c r="L29" s="181">
        <f t="shared" si="2"/>
        <v>106.7</v>
      </c>
      <c r="M29" s="181">
        <f t="shared" si="12"/>
        <v>95.7</v>
      </c>
      <c r="N29" s="181">
        <f t="shared" si="12"/>
        <v>95.7</v>
      </c>
      <c r="O29" s="182">
        <f t="shared" si="10"/>
        <v>104.4</v>
      </c>
    </row>
    <row r="30" spans="1:15" ht="24.95" hidden="1" customHeight="1" x14ac:dyDescent="0.15">
      <c r="A30" s="756"/>
      <c r="B30" s="757" t="s">
        <v>29</v>
      </c>
      <c r="C30" s="709"/>
      <c r="D30" s="178">
        <f t="shared" ref="D30:J30" si="14">D28+D29</f>
        <v>26646954</v>
      </c>
      <c r="E30" s="178">
        <f t="shared" si="14"/>
        <v>26125219</v>
      </c>
      <c r="F30" s="178">
        <f t="shared" si="14"/>
        <v>892846224</v>
      </c>
      <c r="G30" s="178">
        <f t="shared" si="14"/>
        <v>891945829</v>
      </c>
      <c r="H30" s="178">
        <f t="shared" si="14"/>
        <v>889373876</v>
      </c>
      <c r="I30" s="178">
        <f t="shared" si="14"/>
        <v>170997</v>
      </c>
      <c r="J30" s="178">
        <f t="shared" si="14"/>
        <v>159929</v>
      </c>
      <c r="K30" s="178">
        <f t="shared" ref="K30:K42" si="15">ROUND((F30*1000)/D30,0)</f>
        <v>33507</v>
      </c>
      <c r="L30" s="179">
        <f t="shared" si="2"/>
        <v>106</v>
      </c>
      <c r="M30" s="179">
        <f>ROUND((G30/G27)*100,1)</f>
        <v>96.9</v>
      </c>
      <c r="N30" s="179">
        <f>ROUND((H30/H27)*100,1)</f>
        <v>96.9</v>
      </c>
      <c r="O30" s="180">
        <f>ROUND((J30/J27)*100,1)</f>
        <v>103.9</v>
      </c>
    </row>
    <row r="31" spans="1:15" ht="24.95" hidden="1" customHeight="1" x14ac:dyDescent="0.15">
      <c r="A31" s="754" t="s">
        <v>124</v>
      </c>
      <c r="B31" s="757" t="s">
        <v>116</v>
      </c>
      <c r="C31" s="722"/>
      <c r="D31" s="178">
        <v>11644353</v>
      </c>
      <c r="E31" s="178">
        <v>11172127</v>
      </c>
      <c r="F31" s="178">
        <v>258548863</v>
      </c>
      <c r="G31" s="178">
        <v>257783622</v>
      </c>
      <c r="H31" s="178">
        <v>257783192</v>
      </c>
      <c r="I31" s="178">
        <v>113866</v>
      </c>
      <c r="J31" s="178">
        <v>104269</v>
      </c>
      <c r="K31" s="178">
        <f t="shared" si="15"/>
        <v>22204</v>
      </c>
      <c r="L31" s="179">
        <f t="shared" si="2"/>
        <v>100.8</v>
      </c>
      <c r="M31" s="179">
        <f>ROUND((G31/G28)*100,1)</f>
        <v>105</v>
      </c>
      <c r="N31" s="179">
        <f t="shared" si="12"/>
        <v>105</v>
      </c>
      <c r="O31" s="180">
        <f t="shared" si="10"/>
        <v>100.1</v>
      </c>
    </row>
    <row r="32" spans="1:15" ht="24.95" hidden="1" customHeight="1" x14ac:dyDescent="0.15">
      <c r="A32" s="755"/>
      <c r="B32" s="759" t="s">
        <v>117</v>
      </c>
      <c r="C32" s="724"/>
      <c r="D32" s="85">
        <v>15201541</v>
      </c>
      <c r="E32" s="85">
        <v>15165353</v>
      </c>
      <c r="F32" s="85">
        <v>662904968</v>
      </c>
      <c r="G32" s="85">
        <v>662791907</v>
      </c>
      <c r="H32" s="85">
        <v>660356657</v>
      </c>
      <c r="I32" s="85">
        <v>57154</v>
      </c>
      <c r="J32" s="85">
        <v>55931</v>
      </c>
      <c r="K32" s="85">
        <f t="shared" si="15"/>
        <v>43608</v>
      </c>
      <c r="L32" s="181">
        <f t="shared" si="2"/>
        <v>100.8</v>
      </c>
      <c r="M32" s="181">
        <f t="shared" si="12"/>
        <v>102.5</v>
      </c>
      <c r="N32" s="181">
        <f t="shared" si="12"/>
        <v>102.6</v>
      </c>
      <c r="O32" s="182">
        <f t="shared" si="10"/>
        <v>100.3</v>
      </c>
    </row>
    <row r="33" spans="1:15" ht="24.95" hidden="1" customHeight="1" x14ac:dyDescent="0.15">
      <c r="A33" s="756"/>
      <c r="B33" s="757" t="s">
        <v>29</v>
      </c>
      <c r="C33" s="709"/>
      <c r="D33" s="178">
        <f t="shared" ref="D33:J33" si="16">D31+D32</f>
        <v>26845894</v>
      </c>
      <c r="E33" s="178">
        <f t="shared" si="16"/>
        <v>26337480</v>
      </c>
      <c r="F33" s="178">
        <f t="shared" si="16"/>
        <v>921453831</v>
      </c>
      <c r="G33" s="178">
        <f t="shared" si="16"/>
        <v>920575529</v>
      </c>
      <c r="H33" s="178">
        <f t="shared" si="16"/>
        <v>918139849</v>
      </c>
      <c r="I33" s="178">
        <f t="shared" si="16"/>
        <v>171020</v>
      </c>
      <c r="J33" s="178">
        <f t="shared" si="16"/>
        <v>160200</v>
      </c>
      <c r="K33" s="178">
        <f t="shared" si="15"/>
        <v>34324</v>
      </c>
      <c r="L33" s="179">
        <f t="shared" si="2"/>
        <v>100.8</v>
      </c>
      <c r="M33" s="179">
        <f t="shared" si="12"/>
        <v>103.2</v>
      </c>
      <c r="N33" s="179">
        <f t="shared" si="12"/>
        <v>103.2</v>
      </c>
      <c r="O33" s="180">
        <f t="shared" si="10"/>
        <v>100.2</v>
      </c>
    </row>
    <row r="34" spans="1:15" ht="24.95" hidden="1" customHeight="1" x14ac:dyDescent="0.15">
      <c r="A34" s="754" t="s">
        <v>125</v>
      </c>
      <c r="B34" s="757" t="s">
        <v>116</v>
      </c>
      <c r="C34" s="722"/>
      <c r="D34" s="178">
        <v>11764921</v>
      </c>
      <c r="E34" s="178">
        <v>11301499</v>
      </c>
      <c r="F34" s="178">
        <v>272796901</v>
      </c>
      <c r="G34" s="178">
        <v>272045463</v>
      </c>
      <c r="H34" s="178">
        <v>272044578</v>
      </c>
      <c r="I34" s="178">
        <v>114089</v>
      </c>
      <c r="J34" s="178">
        <v>104693</v>
      </c>
      <c r="K34" s="178">
        <f t="shared" si="15"/>
        <v>23187</v>
      </c>
      <c r="L34" s="179">
        <f t="shared" si="2"/>
        <v>101.2</v>
      </c>
      <c r="M34" s="179">
        <f t="shared" si="12"/>
        <v>105.5</v>
      </c>
      <c r="N34" s="179">
        <f t="shared" si="12"/>
        <v>105.5</v>
      </c>
      <c r="O34" s="180">
        <f t="shared" si="10"/>
        <v>100.4</v>
      </c>
    </row>
    <row r="35" spans="1:15" ht="24.95" hidden="1" customHeight="1" x14ac:dyDescent="0.15">
      <c r="A35" s="755"/>
      <c r="B35" s="759" t="s">
        <v>117</v>
      </c>
      <c r="C35" s="724"/>
      <c r="D35" s="85">
        <v>15384231</v>
      </c>
      <c r="E35" s="85">
        <v>15348141</v>
      </c>
      <c r="F35" s="85">
        <v>679849351</v>
      </c>
      <c r="G35" s="85">
        <v>679735886</v>
      </c>
      <c r="H35" s="85">
        <v>676654707</v>
      </c>
      <c r="I35" s="85">
        <v>57533</v>
      </c>
      <c r="J35" s="85">
        <v>56306</v>
      </c>
      <c r="K35" s="85">
        <f t="shared" si="15"/>
        <v>44191</v>
      </c>
      <c r="L35" s="181">
        <f t="shared" si="2"/>
        <v>101.2</v>
      </c>
      <c r="M35" s="181">
        <f t="shared" si="12"/>
        <v>102.6</v>
      </c>
      <c r="N35" s="181">
        <f t="shared" si="12"/>
        <v>102.5</v>
      </c>
      <c r="O35" s="182">
        <f t="shared" si="10"/>
        <v>100.7</v>
      </c>
    </row>
    <row r="36" spans="1:15" ht="24.95" hidden="1" customHeight="1" x14ac:dyDescent="0.15">
      <c r="A36" s="756"/>
      <c r="B36" s="757" t="s">
        <v>29</v>
      </c>
      <c r="C36" s="709"/>
      <c r="D36" s="178">
        <f t="shared" ref="D36:J36" si="17">D34+D35</f>
        <v>27149152</v>
      </c>
      <c r="E36" s="178">
        <f t="shared" si="17"/>
        <v>26649640</v>
      </c>
      <c r="F36" s="178">
        <f t="shared" si="17"/>
        <v>952646252</v>
      </c>
      <c r="G36" s="178">
        <f t="shared" si="17"/>
        <v>951781349</v>
      </c>
      <c r="H36" s="178">
        <f t="shared" si="17"/>
        <v>948699285</v>
      </c>
      <c r="I36" s="178">
        <f t="shared" si="17"/>
        <v>171622</v>
      </c>
      <c r="J36" s="178">
        <f t="shared" si="17"/>
        <v>160999</v>
      </c>
      <c r="K36" s="178">
        <f t="shared" si="15"/>
        <v>35089</v>
      </c>
      <c r="L36" s="179">
        <f t="shared" si="2"/>
        <v>101.2</v>
      </c>
      <c r="M36" s="179">
        <f t="shared" si="12"/>
        <v>103.4</v>
      </c>
      <c r="N36" s="179">
        <f t="shared" si="12"/>
        <v>103.3</v>
      </c>
      <c r="O36" s="180">
        <f t="shared" si="10"/>
        <v>100.5</v>
      </c>
    </row>
    <row r="37" spans="1:15" ht="24.95" hidden="1" customHeight="1" x14ac:dyDescent="0.15">
      <c r="A37" s="754" t="s">
        <v>126</v>
      </c>
      <c r="B37" s="757" t="s">
        <v>116</v>
      </c>
      <c r="C37" s="722"/>
      <c r="D37" s="178">
        <v>11856230</v>
      </c>
      <c r="E37" s="178">
        <v>11402264</v>
      </c>
      <c r="F37" s="178">
        <v>262065386</v>
      </c>
      <c r="G37" s="178">
        <v>261326710</v>
      </c>
      <c r="H37" s="178">
        <v>261325525</v>
      </c>
      <c r="I37" s="178">
        <v>114065</v>
      </c>
      <c r="J37" s="178">
        <v>104822</v>
      </c>
      <c r="K37" s="178">
        <f t="shared" si="15"/>
        <v>22104</v>
      </c>
      <c r="L37" s="179">
        <f t="shared" si="2"/>
        <v>100.9</v>
      </c>
      <c r="M37" s="179">
        <f t="shared" si="12"/>
        <v>96.1</v>
      </c>
      <c r="N37" s="179">
        <f t="shared" si="12"/>
        <v>96.1</v>
      </c>
      <c r="O37" s="180">
        <f t="shared" si="10"/>
        <v>100.1</v>
      </c>
    </row>
    <row r="38" spans="1:15" ht="24.95" hidden="1" customHeight="1" x14ac:dyDescent="0.15">
      <c r="A38" s="755"/>
      <c r="B38" s="759" t="s">
        <v>117</v>
      </c>
      <c r="C38" s="724"/>
      <c r="D38" s="85">
        <v>15474486</v>
      </c>
      <c r="E38" s="85">
        <v>15437316</v>
      </c>
      <c r="F38" s="85">
        <v>664507845</v>
      </c>
      <c r="G38" s="85">
        <v>664391591</v>
      </c>
      <c r="H38" s="85">
        <v>661569436</v>
      </c>
      <c r="I38" s="85">
        <v>57582</v>
      </c>
      <c r="J38" s="85">
        <v>56308</v>
      </c>
      <c r="K38" s="85">
        <f t="shared" si="15"/>
        <v>42942</v>
      </c>
      <c r="L38" s="181">
        <f t="shared" si="2"/>
        <v>100.6</v>
      </c>
      <c r="M38" s="181">
        <f t="shared" si="12"/>
        <v>97.7</v>
      </c>
      <c r="N38" s="181">
        <f t="shared" si="12"/>
        <v>97.8</v>
      </c>
      <c r="O38" s="182">
        <f t="shared" si="10"/>
        <v>100</v>
      </c>
    </row>
    <row r="39" spans="1:15" ht="24.95" hidden="1" customHeight="1" x14ac:dyDescent="0.15">
      <c r="A39" s="756"/>
      <c r="B39" s="757" t="s">
        <v>29</v>
      </c>
      <c r="C39" s="709"/>
      <c r="D39" s="178">
        <f t="shared" ref="D39:J39" si="18">D37+D38</f>
        <v>27330716</v>
      </c>
      <c r="E39" s="178">
        <f t="shared" si="18"/>
        <v>26839580</v>
      </c>
      <c r="F39" s="178">
        <f t="shared" si="18"/>
        <v>926573231</v>
      </c>
      <c r="G39" s="178">
        <f t="shared" si="18"/>
        <v>925718301</v>
      </c>
      <c r="H39" s="178">
        <f t="shared" si="18"/>
        <v>922894961</v>
      </c>
      <c r="I39" s="178">
        <f t="shared" si="18"/>
        <v>171647</v>
      </c>
      <c r="J39" s="178">
        <f t="shared" si="18"/>
        <v>161130</v>
      </c>
      <c r="K39" s="178">
        <f t="shared" si="15"/>
        <v>33902</v>
      </c>
      <c r="L39" s="179">
        <f t="shared" si="2"/>
        <v>100.7</v>
      </c>
      <c r="M39" s="179">
        <f t="shared" si="12"/>
        <v>97.3</v>
      </c>
      <c r="N39" s="179">
        <f t="shared" si="12"/>
        <v>97.3</v>
      </c>
      <c r="O39" s="180">
        <f t="shared" si="10"/>
        <v>100.1</v>
      </c>
    </row>
    <row r="40" spans="1:15" ht="24.95" hidden="1" customHeight="1" x14ac:dyDescent="0.15">
      <c r="A40" s="754" t="s">
        <v>127</v>
      </c>
      <c r="B40" s="757" t="s">
        <v>116</v>
      </c>
      <c r="C40" s="722"/>
      <c r="D40" s="178">
        <v>11941890</v>
      </c>
      <c r="E40" s="178">
        <v>11499743</v>
      </c>
      <c r="F40" s="178">
        <v>273799588</v>
      </c>
      <c r="G40" s="178">
        <v>273078603</v>
      </c>
      <c r="H40" s="178">
        <v>273077417</v>
      </c>
      <c r="I40" s="178">
        <v>114168</v>
      </c>
      <c r="J40" s="178">
        <v>105165</v>
      </c>
      <c r="K40" s="178">
        <f t="shared" si="15"/>
        <v>22928</v>
      </c>
      <c r="L40" s="179">
        <f t="shared" si="2"/>
        <v>100.9</v>
      </c>
      <c r="M40" s="179">
        <f t="shared" si="12"/>
        <v>104.5</v>
      </c>
      <c r="N40" s="179">
        <f t="shared" si="12"/>
        <v>104.5</v>
      </c>
      <c r="O40" s="180">
        <f t="shared" si="10"/>
        <v>100.3</v>
      </c>
    </row>
    <row r="41" spans="1:15" ht="24.95" hidden="1" customHeight="1" x14ac:dyDescent="0.15">
      <c r="A41" s="755"/>
      <c r="B41" s="759" t="s">
        <v>117</v>
      </c>
      <c r="C41" s="724"/>
      <c r="D41" s="85">
        <v>15530312</v>
      </c>
      <c r="E41" s="85">
        <v>15493478</v>
      </c>
      <c r="F41" s="85">
        <v>673731915</v>
      </c>
      <c r="G41" s="85">
        <v>673615799</v>
      </c>
      <c r="H41" s="85">
        <v>670818063</v>
      </c>
      <c r="I41" s="85">
        <v>57682</v>
      </c>
      <c r="J41" s="85">
        <v>56414</v>
      </c>
      <c r="K41" s="85">
        <f t="shared" si="15"/>
        <v>43382</v>
      </c>
      <c r="L41" s="181">
        <f t="shared" si="2"/>
        <v>100.4</v>
      </c>
      <c r="M41" s="181">
        <f t="shared" si="12"/>
        <v>101.4</v>
      </c>
      <c r="N41" s="181">
        <f t="shared" si="12"/>
        <v>101.4</v>
      </c>
      <c r="O41" s="182">
        <f t="shared" si="10"/>
        <v>100.2</v>
      </c>
    </row>
    <row r="42" spans="1:15" ht="24.95" hidden="1" customHeight="1" x14ac:dyDescent="0.15">
      <c r="A42" s="756"/>
      <c r="B42" s="757" t="s">
        <v>29</v>
      </c>
      <c r="C42" s="709"/>
      <c r="D42" s="178">
        <f t="shared" ref="D42:J42" si="19">D40+D41</f>
        <v>27472202</v>
      </c>
      <c r="E42" s="178">
        <f t="shared" si="19"/>
        <v>26993221</v>
      </c>
      <c r="F42" s="178">
        <f t="shared" si="19"/>
        <v>947531503</v>
      </c>
      <c r="G42" s="178">
        <f t="shared" si="19"/>
        <v>946694402</v>
      </c>
      <c r="H42" s="178">
        <f t="shared" si="19"/>
        <v>943895480</v>
      </c>
      <c r="I42" s="178">
        <f t="shared" si="19"/>
        <v>171850</v>
      </c>
      <c r="J42" s="178">
        <f t="shared" si="19"/>
        <v>161579</v>
      </c>
      <c r="K42" s="178">
        <f t="shared" si="15"/>
        <v>34491</v>
      </c>
      <c r="L42" s="179">
        <f t="shared" si="2"/>
        <v>100.6</v>
      </c>
      <c r="M42" s="179">
        <f t="shared" ref="M42:N57" si="20">ROUND((G42/G39)*100,1)</f>
        <v>102.3</v>
      </c>
      <c r="N42" s="179">
        <f t="shared" si="20"/>
        <v>102.3</v>
      </c>
      <c r="O42" s="180">
        <f t="shared" si="10"/>
        <v>100.3</v>
      </c>
    </row>
    <row r="43" spans="1:15" ht="24.95" hidden="1" customHeight="1" x14ac:dyDescent="0.15">
      <c r="A43" s="754" t="s">
        <v>128</v>
      </c>
      <c r="B43" s="757" t="s">
        <v>116</v>
      </c>
      <c r="C43" s="722"/>
      <c r="D43" s="178">
        <v>12022260</v>
      </c>
      <c r="E43" s="178">
        <v>11591800</v>
      </c>
      <c r="F43" s="178">
        <v>285559839</v>
      </c>
      <c r="G43" s="178">
        <v>284857890</v>
      </c>
      <c r="H43" s="178">
        <v>284856704</v>
      </c>
      <c r="I43" s="178">
        <v>114202</v>
      </c>
      <c r="J43" s="178">
        <v>105443</v>
      </c>
      <c r="K43" s="178">
        <f>ROUND((F43*1000)/D43,0)</f>
        <v>23753</v>
      </c>
      <c r="L43" s="179">
        <f t="shared" si="2"/>
        <v>100.8</v>
      </c>
      <c r="M43" s="179">
        <f t="shared" si="20"/>
        <v>104.3</v>
      </c>
      <c r="N43" s="179">
        <f t="shared" si="20"/>
        <v>104.3</v>
      </c>
      <c r="O43" s="180">
        <f t="shared" si="10"/>
        <v>100.3</v>
      </c>
    </row>
    <row r="44" spans="1:15" ht="24.95" hidden="1" customHeight="1" x14ac:dyDescent="0.15">
      <c r="A44" s="755"/>
      <c r="B44" s="759" t="s">
        <v>117</v>
      </c>
      <c r="C44" s="724"/>
      <c r="D44" s="85">
        <v>15517951</v>
      </c>
      <c r="E44" s="85">
        <v>15482031</v>
      </c>
      <c r="F44" s="85">
        <v>678644734</v>
      </c>
      <c r="G44" s="85">
        <v>678530048</v>
      </c>
      <c r="H44" s="85">
        <v>675804049</v>
      </c>
      <c r="I44" s="85">
        <v>57692</v>
      </c>
      <c r="J44" s="85">
        <v>56430</v>
      </c>
      <c r="K44" s="85">
        <f>ROUND((F44*1000)/D44,0)</f>
        <v>43733</v>
      </c>
      <c r="L44" s="181">
        <f t="shared" si="2"/>
        <v>99.9</v>
      </c>
      <c r="M44" s="181">
        <f t="shared" si="20"/>
        <v>100.7</v>
      </c>
      <c r="N44" s="181">
        <f t="shared" si="20"/>
        <v>100.7</v>
      </c>
      <c r="O44" s="182">
        <f t="shared" si="10"/>
        <v>100</v>
      </c>
    </row>
    <row r="45" spans="1:15" ht="24.95" hidden="1" customHeight="1" x14ac:dyDescent="0.15">
      <c r="A45" s="756"/>
      <c r="B45" s="757" t="s">
        <v>29</v>
      </c>
      <c r="C45" s="709"/>
      <c r="D45" s="178">
        <f t="shared" ref="D45:J45" si="21">D43+D44</f>
        <v>27540211</v>
      </c>
      <c r="E45" s="178">
        <f t="shared" si="21"/>
        <v>27073831</v>
      </c>
      <c r="F45" s="178">
        <f t="shared" si="21"/>
        <v>964204573</v>
      </c>
      <c r="G45" s="178">
        <f t="shared" si="21"/>
        <v>963387938</v>
      </c>
      <c r="H45" s="178">
        <f t="shared" si="21"/>
        <v>960660753</v>
      </c>
      <c r="I45" s="178">
        <f t="shared" si="21"/>
        <v>171894</v>
      </c>
      <c r="J45" s="178">
        <f t="shared" si="21"/>
        <v>161873</v>
      </c>
      <c r="K45" s="178">
        <f>ROUND((F45*1000)/D45,0)</f>
        <v>35011</v>
      </c>
      <c r="L45" s="179">
        <f t="shared" si="2"/>
        <v>100.3</v>
      </c>
      <c r="M45" s="179">
        <f t="shared" si="20"/>
        <v>101.8</v>
      </c>
      <c r="N45" s="179">
        <f t="shared" si="20"/>
        <v>101.8</v>
      </c>
      <c r="O45" s="180">
        <f t="shared" si="10"/>
        <v>100.2</v>
      </c>
    </row>
    <row r="46" spans="1:15" ht="24.95" hidden="1" customHeight="1" x14ac:dyDescent="0.15">
      <c r="A46" s="754" t="s">
        <v>89</v>
      </c>
      <c r="B46" s="757" t="s">
        <v>116</v>
      </c>
      <c r="C46" s="722"/>
      <c r="D46" s="178">
        <v>12116445</v>
      </c>
      <c r="E46" s="178">
        <v>11698044</v>
      </c>
      <c r="F46" s="178">
        <v>265452034</v>
      </c>
      <c r="G46" s="178">
        <v>264767892</v>
      </c>
      <c r="H46" s="178">
        <v>264766440</v>
      </c>
      <c r="I46" s="178">
        <v>114489</v>
      </c>
      <c r="J46" s="178">
        <v>105931</v>
      </c>
      <c r="K46" s="178">
        <f t="shared" ref="K46:K92" si="22">ROUND((F46*1000)/D46,0)</f>
        <v>21908</v>
      </c>
      <c r="L46" s="179">
        <f t="shared" si="2"/>
        <v>100.9</v>
      </c>
      <c r="M46" s="179">
        <f t="shared" si="20"/>
        <v>92.9</v>
      </c>
      <c r="N46" s="179">
        <f t="shared" si="20"/>
        <v>92.9</v>
      </c>
      <c r="O46" s="180">
        <f t="shared" si="10"/>
        <v>100.5</v>
      </c>
    </row>
    <row r="47" spans="1:15" ht="24.95" hidden="1" customHeight="1" x14ac:dyDescent="0.15">
      <c r="A47" s="755"/>
      <c r="B47" s="759" t="s">
        <v>117</v>
      </c>
      <c r="C47" s="724"/>
      <c r="D47" s="80">
        <v>15557279</v>
      </c>
      <c r="E47" s="80">
        <v>15518752</v>
      </c>
      <c r="F47" s="80">
        <v>608420194</v>
      </c>
      <c r="G47" s="80">
        <v>608299729</v>
      </c>
      <c r="H47" s="80">
        <v>605819399</v>
      </c>
      <c r="I47" s="80">
        <v>57775</v>
      </c>
      <c r="J47" s="80">
        <v>56432</v>
      </c>
      <c r="K47" s="85">
        <f t="shared" si="22"/>
        <v>39108</v>
      </c>
      <c r="L47" s="181">
        <f t="shared" si="2"/>
        <v>100.2</v>
      </c>
      <c r="M47" s="181">
        <f t="shared" si="20"/>
        <v>89.6</v>
      </c>
      <c r="N47" s="181">
        <f t="shared" si="20"/>
        <v>89.6</v>
      </c>
      <c r="O47" s="182">
        <f t="shared" si="10"/>
        <v>100</v>
      </c>
    </row>
    <row r="48" spans="1:15" ht="24.95" hidden="1" customHeight="1" x14ac:dyDescent="0.15">
      <c r="A48" s="756"/>
      <c r="B48" s="757" t="s">
        <v>29</v>
      </c>
      <c r="C48" s="709"/>
      <c r="D48" s="178">
        <f t="shared" ref="D48:J48" si="23">D46+D47</f>
        <v>27673724</v>
      </c>
      <c r="E48" s="178">
        <f t="shared" si="23"/>
        <v>27216796</v>
      </c>
      <c r="F48" s="178">
        <f t="shared" si="23"/>
        <v>873872228</v>
      </c>
      <c r="G48" s="178">
        <f t="shared" si="23"/>
        <v>873067621</v>
      </c>
      <c r="H48" s="178">
        <f t="shared" si="23"/>
        <v>870585839</v>
      </c>
      <c r="I48" s="178">
        <f t="shared" si="23"/>
        <v>172264</v>
      </c>
      <c r="J48" s="178">
        <f t="shared" si="23"/>
        <v>162363</v>
      </c>
      <c r="K48" s="178">
        <f t="shared" si="22"/>
        <v>31578</v>
      </c>
      <c r="L48" s="179">
        <f t="shared" si="2"/>
        <v>100.5</v>
      </c>
      <c r="M48" s="179">
        <f t="shared" si="20"/>
        <v>90.6</v>
      </c>
      <c r="N48" s="179">
        <f t="shared" si="20"/>
        <v>90.6</v>
      </c>
      <c r="O48" s="180">
        <f t="shared" si="10"/>
        <v>100.3</v>
      </c>
    </row>
    <row r="49" spans="1:15" ht="24.95" hidden="1" customHeight="1" x14ac:dyDescent="0.15">
      <c r="A49" s="754" t="s">
        <v>129</v>
      </c>
      <c r="B49" s="757" t="s">
        <v>130</v>
      </c>
      <c r="C49" s="722"/>
      <c r="D49" s="178">
        <v>12195522</v>
      </c>
      <c r="E49" s="178">
        <v>11787156</v>
      </c>
      <c r="F49" s="178">
        <v>276860413</v>
      </c>
      <c r="G49" s="178">
        <v>276193045</v>
      </c>
      <c r="H49" s="178">
        <v>276191659</v>
      </c>
      <c r="I49" s="178">
        <v>114584</v>
      </c>
      <c r="J49" s="178">
        <v>106226</v>
      </c>
      <c r="K49" s="178">
        <f>ROUND((F49*1000)/D49,0)</f>
        <v>22702</v>
      </c>
      <c r="L49" s="179">
        <f t="shared" si="2"/>
        <v>100.8</v>
      </c>
      <c r="M49" s="179">
        <f t="shared" si="20"/>
        <v>104.3</v>
      </c>
      <c r="N49" s="179">
        <f t="shared" si="20"/>
        <v>104.3</v>
      </c>
      <c r="O49" s="180">
        <f t="shared" si="10"/>
        <v>100.3</v>
      </c>
    </row>
    <row r="50" spans="1:15" ht="24.95" hidden="1" customHeight="1" x14ac:dyDescent="0.15">
      <c r="A50" s="755"/>
      <c r="B50" s="759" t="s">
        <v>131</v>
      </c>
      <c r="C50" s="724"/>
      <c r="D50" s="80">
        <v>15630855</v>
      </c>
      <c r="E50" s="80">
        <v>15592364</v>
      </c>
      <c r="F50" s="80">
        <v>619971080</v>
      </c>
      <c r="G50" s="80">
        <v>619849545</v>
      </c>
      <c r="H50" s="80">
        <v>617468861</v>
      </c>
      <c r="I50" s="80">
        <v>57850</v>
      </c>
      <c r="J50" s="80">
        <v>56505</v>
      </c>
      <c r="K50" s="80">
        <f t="shared" si="22"/>
        <v>39663</v>
      </c>
      <c r="L50" s="185">
        <f t="shared" si="2"/>
        <v>100.5</v>
      </c>
      <c r="M50" s="185">
        <f t="shared" si="20"/>
        <v>101.9</v>
      </c>
      <c r="N50" s="185">
        <f t="shared" si="20"/>
        <v>101.9</v>
      </c>
      <c r="O50" s="186">
        <f t="shared" si="10"/>
        <v>100.1</v>
      </c>
    </row>
    <row r="51" spans="1:15" ht="24.95" hidden="1" customHeight="1" x14ac:dyDescent="0.15">
      <c r="A51" s="756"/>
      <c r="B51" s="750" t="s">
        <v>93</v>
      </c>
      <c r="C51" s="709"/>
      <c r="D51" s="178">
        <f t="shared" ref="D51:J51" si="24">D49+D50</f>
        <v>27826377</v>
      </c>
      <c r="E51" s="178">
        <f t="shared" si="24"/>
        <v>27379520</v>
      </c>
      <c r="F51" s="178">
        <f t="shared" si="24"/>
        <v>896831493</v>
      </c>
      <c r="G51" s="178">
        <f t="shared" si="24"/>
        <v>896042590</v>
      </c>
      <c r="H51" s="178">
        <f t="shared" si="24"/>
        <v>893660520</v>
      </c>
      <c r="I51" s="178">
        <f t="shared" si="24"/>
        <v>172434</v>
      </c>
      <c r="J51" s="178">
        <f t="shared" si="24"/>
        <v>162731</v>
      </c>
      <c r="K51" s="178">
        <f t="shared" si="22"/>
        <v>32230</v>
      </c>
      <c r="L51" s="179">
        <f t="shared" si="2"/>
        <v>100.6</v>
      </c>
      <c r="M51" s="179">
        <f t="shared" si="20"/>
        <v>102.6</v>
      </c>
      <c r="N51" s="179">
        <f t="shared" si="20"/>
        <v>102.7</v>
      </c>
      <c r="O51" s="180">
        <f t="shared" si="10"/>
        <v>100.2</v>
      </c>
    </row>
    <row r="52" spans="1:15" ht="13.5" hidden="1" customHeight="1" x14ac:dyDescent="0.15">
      <c r="A52" s="754" t="s">
        <v>132</v>
      </c>
      <c r="B52" s="757" t="s">
        <v>130</v>
      </c>
      <c r="C52" s="722"/>
      <c r="D52" s="178">
        <v>12289443</v>
      </c>
      <c r="E52" s="178">
        <v>11893220</v>
      </c>
      <c r="F52" s="178">
        <v>289188376</v>
      </c>
      <c r="G52" s="178">
        <v>288539531</v>
      </c>
      <c r="H52" s="178">
        <v>289185763</v>
      </c>
      <c r="I52" s="178">
        <v>114846</v>
      </c>
      <c r="J52" s="178">
        <v>106736</v>
      </c>
      <c r="K52" s="178">
        <f t="shared" si="22"/>
        <v>23531</v>
      </c>
      <c r="L52" s="179">
        <f t="shared" si="2"/>
        <v>100.9</v>
      </c>
      <c r="M52" s="179">
        <f t="shared" si="20"/>
        <v>104.5</v>
      </c>
      <c r="N52" s="179">
        <f>ROUND((H52/H49)*100,1)</f>
        <v>104.7</v>
      </c>
      <c r="O52" s="180">
        <f t="shared" si="10"/>
        <v>100.5</v>
      </c>
    </row>
    <row r="53" spans="1:15" ht="13.5" hidden="1" customHeight="1" x14ac:dyDescent="0.15">
      <c r="A53" s="755"/>
      <c r="B53" s="759" t="s">
        <v>131</v>
      </c>
      <c r="C53" s="724"/>
      <c r="D53" s="80">
        <v>15655919</v>
      </c>
      <c r="E53" s="80">
        <v>15618001</v>
      </c>
      <c r="F53" s="80">
        <v>626470502</v>
      </c>
      <c r="G53" s="80">
        <v>626351553</v>
      </c>
      <c r="H53" s="80">
        <v>623968934</v>
      </c>
      <c r="I53" s="80">
        <v>57961</v>
      </c>
      <c r="J53" s="80">
        <v>56643</v>
      </c>
      <c r="K53" s="80">
        <f t="shared" si="22"/>
        <v>40015</v>
      </c>
      <c r="L53" s="185">
        <f t="shared" si="2"/>
        <v>100.2</v>
      </c>
      <c r="M53" s="185">
        <f t="shared" si="20"/>
        <v>101</v>
      </c>
      <c r="N53" s="185">
        <f t="shared" si="20"/>
        <v>101.1</v>
      </c>
      <c r="O53" s="186">
        <f t="shared" si="10"/>
        <v>100.2</v>
      </c>
    </row>
    <row r="54" spans="1:15" ht="13.5" hidden="1" customHeight="1" x14ac:dyDescent="0.15">
      <c r="A54" s="756"/>
      <c r="B54" s="750" t="s">
        <v>93</v>
      </c>
      <c r="C54" s="709"/>
      <c r="D54" s="178">
        <f t="shared" ref="D54:J54" si="25">D52+D53</f>
        <v>27945362</v>
      </c>
      <c r="E54" s="178">
        <f t="shared" si="25"/>
        <v>27511221</v>
      </c>
      <c r="F54" s="178">
        <f t="shared" si="25"/>
        <v>915658878</v>
      </c>
      <c r="G54" s="178">
        <f t="shared" si="25"/>
        <v>914891084</v>
      </c>
      <c r="H54" s="178">
        <f t="shared" si="25"/>
        <v>913154697</v>
      </c>
      <c r="I54" s="178">
        <f t="shared" si="25"/>
        <v>172807</v>
      </c>
      <c r="J54" s="178">
        <f t="shared" si="25"/>
        <v>163379</v>
      </c>
      <c r="K54" s="178">
        <f t="shared" si="22"/>
        <v>32766</v>
      </c>
      <c r="L54" s="179">
        <f t="shared" si="2"/>
        <v>100.5</v>
      </c>
      <c r="M54" s="179">
        <f t="shared" si="20"/>
        <v>102.1</v>
      </c>
      <c r="N54" s="179">
        <f t="shared" si="20"/>
        <v>102.2</v>
      </c>
      <c r="O54" s="180">
        <f t="shared" si="10"/>
        <v>100.4</v>
      </c>
    </row>
    <row r="55" spans="1:15" ht="24.95" hidden="1" customHeight="1" x14ac:dyDescent="0.15">
      <c r="A55" s="754" t="s">
        <v>133</v>
      </c>
      <c r="B55" s="757" t="s">
        <v>130</v>
      </c>
      <c r="C55" s="722"/>
      <c r="D55" s="178">
        <v>12396035</v>
      </c>
      <c r="E55" s="178">
        <v>12009399</v>
      </c>
      <c r="F55" s="178">
        <v>284742561</v>
      </c>
      <c r="G55" s="178">
        <v>284109866</v>
      </c>
      <c r="H55" s="178">
        <v>284735274</v>
      </c>
      <c r="I55" s="178">
        <v>115108</v>
      </c>
      <c r="J55" s="178">
        <v>107194</v>
      </c>
      <c r="K55" s="178">
        <f t="shared" si="22"/>
        <v>22970</v>
      </c>
      <c r="L55" s="179">
        <f>ROUND((E55/E52)*100,1)</f>
        <v>101</v>
      </c>
      <c r="M55" s="179">
        <f t="shared" si="20"/>
        <v>98.5</v>
      </c>
      <c r="N55" s="179">
        <f t="shared" si="20"/>
        <v>98.5</v>
      </c>
      <c r="O55" s="180">
        <f t="shared" si="10"/>
        <v>100.4</v>
      </c>
    </row>
    <row r="56" spans="1:15" ht="24.95" hidden="1" customHeight="1" x14ac:dyDescent="0.15">
      <c r="A56" s="755"/>
      <c r="B56" s="759" t="s">
        <v>131</v>
      </c>
      <c r="C56" s="724"/>
      <c r="D56" s="80">
        <v>15691901</v>
      </c>
      <c r="E56" s="80">
        <v>15652127</v>
      </c>
      <c r="F56" s="80">
        <v>610719463</v>
      </c>
      <c r="G56" s="80">
        <v>610595944</v>
      </c>
      <c r="H56" s="80">
        <v>608248109</v>
      </c>
      <c r="I56" s="80">
        <v>57981</v>
      </c>
      <c r="J56" s="80">
        <v>56610</v>
      </c>
      <c r="K56" s="80">
        <f t="shared" si="22"/>
        <v>38919</v>
      </c>
      <c r="L56" s="185">
        <f>ROUND((E56/E53)*100,1)</f>
        <v>100.2</v>
      </c>
      <c r="M56" s="185">
        <f t="shared" si="20"/>
        <v>97.5</v>
      </c>
      <c r="N56" s="185">
        <f t="shared" si="20"/>
        <v>97.5</v>
      </c>
      <c r="O56" s="186">
        <f t="shared" si="10"/>
        <v>99.9</v>
      </c>
    </row>
    <row r="57" spans="1:15" ht="24.95" hidden="1" customHeight="1" x14ac:dyDescent="0.15">
      <c r="A57" s="756"/>
      <c r="B57" s="750" t="s">
        <v>93</v>
      </c>
      <c r="C57" s="709"/>
      <c r="D57" s="178">
        <f t="shared" ref="D57:J57" si="26">D55+D56</f>
        <v>28087936</v>
      </c>
      <c r="E57" s="178">
        <f t="shared" si="26"/>
        <v>27661526</v>
      </c>
      <c r="F57" s="178">
        <f t="shared" si="26"/>
        <v>895462024</v>
      </c>
      <c r="G57" s="178">
        <f t="shared" si="26"/>
        <v>894705810</v>
      </c>
      <c r="H57" s="178">
        <f t="shared" si="26"/>
        <v>892983383</v>
      </c>
      <c r="I57" s="178">
        <f t="shared" si="26"/>
        <v>173089</v>
      </c>
      <c r="J57" s="178">
        <f t="shared" si="26"/>
        <v>163804</v>
      </c>
      <c r="K57" s="178">
        <f t="shared" si="22"/>
        <v>31881</v>
      </c>
      <c r="L57" s="179">
        <f t="shared" si="2"/>
        <v>100.5</v>
      </c>
      <c r="M57" s="179">
        <f t="shared" si="20"/>
        <v>97.8</v>
      </c>
      <c r="N57" s="179">
        <f t="shared" si="20"/>
        <v>97.8</v>
      </c>
      <c r="O57" s="180">
        <f t="shared" si="10"/>
        <v>100.3</v>
      </c>
    </row>
    <row r="58" spans="1:15" ht="24.95" hidden="1" customHeight="1" x14ac:dyDescent="0.15">
      <c r="A58" s="754" t="s">
        <v>37</v>
      </c>
      <c r="B58" s="757" t="s">
        <v>130</v>
      </c>
      <c r="C58" s="722"/>
      <c r="D58" s="178">
        <v>12483526</v>
      </c>
      <c r="E58" s="178">
        <v>12109129</v>
      </c>
      <c r="F58" s="178">
        <v>296981301</v>
      </c>
      <c r="G58" s="178">
        <v>296367724</v>
      </c>
      <c r="H58" s="178">
        <v>296974117</v>
      </c>
      <c r="I58" s="178">
        <v>115261</v>
      </c>
      <c r="J58" s="178">
        <v>107587</v>
      </c>
      <c r="K58" s="178">
        <f t="shared" si="22"/>
        <v>23790</v>
      </c>
      <c r="L58" s="179">
        <f t="shared" si="2"/>
        <v>100.8</v>
      </c>
      <c r="M58" s="179">
        <f t="shared" ref="M58:N73" si="27">ROUND((G58/G55)*100,1)</f>
        <v>104.3</v>
      </c>
      <c r="N58" s="179">
        <f t="shared" si="27"/>
        <v>104.3</v>
      </c>
      <c r="O58" s="180">
        <f t="shared" si="10"/>
        <v>100.4</v>
      </c>
    </row>
    <row r="59" spans="1:15" ht="24.95" hidden="1" customHeight="1" x14ac:dyDescent="0.15">
      <c r="A59" s="755"/>
      <c r="B59" s="759" t="s">
        <v>131</v>
      </c>
      <c r="C59" s="724"/>
      <c r="D59" s="80">
        <v>15725497</v>
      </c>
      <c r="E59" s="80">
        <v>15686547</v>
      </c>
      <c r="F59" s="80">
        <v>619022494</v>
      </c>
      <c r="G59" s="80">
        <v>618899656</v>
      </c>
      <c r="H59" s="80">
        <v>616834874</v>
      </c>
      <c r="I59" s="80">
        <v>58102</v>
      </c>
      <c r="J59" s="80">
        <v>56751</v>
      </c>
      <c r="K59" s="80">
        <f t="shared" si="22"/>
        <v>39364</v>
      </c>
      <c r="L59" s="185">
        <f t="shared" si="2"/>
        <v>100.2</v>
      </c>
      <c r="M59" s="185">
        <f t="shared" si="27"/>
        <v>101.4</v>
      </c>
      <c r="N59" s="185">
        <f t="shared" si="27"/>
        <v>101.4</v>
      </c>
      <c r="O59" s="186">
        <f t="shared" si="10"/>
        <v>100.2</v>
      </c>
    </row>
    <row r="60" spans="1:15" ht="24.95" hidden="1" customHeight="1" x14ac:dyDescent="0.15">
      <c r="A60" s="756"/>
      <c r="B60" s="750" t="s">
        <v>93</v>
      </c>
      <c r="C60" s="709"/>
      <c r="D60" s="178">
        <f t="shared" ref="D60:J60" si="28">D58+D59</f>
        <v>28209023</v>
      </c>
      <c r="E60" s="178">
        <f t="shared" si="28"/>
        <v>27795676</v>
      </c>
      <c r="F60" s="178">
        <f t="shared" si="28"/>
        <v>916003795</v>
      </c>
      <c r="G60" s="178">
        <f t="shared" si="28"/>
        <v>915267380</v>
      </c>
      <c r="H60" s="178">
        <f t="shared" si="28"/>
        <v>913808991</v>
      </c>
      <c r="I60" s="178">
        <f t="shared" si="28"/>
        <v>173363</v>
      </c>
      <c r="J60" s="178">
        <f t="shared" si="28"/>
        <v>164338</v>
      </c>
      <c r="K60" s="178">
        <f t="shared" si="22"/>
        <v>32472</v>
      </c>
      <c r="L60" s="179">
        <f t="shared" si="2"/>
        <v>100.5</v>
      </c>
      <c r="M60" s="179">
        <f t="shared" si="27"/>
        <v>102.3</v>
      </c>
      <c r="N60" s="179">
        <f t="shared" si="27"/>
        <v>102.3</v>
      </c>
      <c r="O60" s="180">
        <f t="shared" si="10"/>
        <v>100.3</v>
      </c>
    </row>
    <row r="61" spans="1:15" ht="24.95" hidden="1" customHeight="1" x14ac:dyDescent="0.15">
      <c r="A61" s="754" t="s">
        <v>38</v>
      </c>
      <c r="B61" s="757" t="s">
        <v>130</v>
      </c>
      <c r="C61" s="722"/>
      <c r="D61" s="178">
        <v>12567511</v>
      </c>
      <c r="E61" s="178">
        <v>12205714</v>
      </c>
      <c r="F61" s="178">
        <v>309748306</v>
      </c>
      <c r="G61" s="178">
        <v>309154361</v>
      </c>
      <c r="H61" s="178">
        <v>309741170</v>
      </c>
      <c r="I61" s="178">
        <v>115294</v>
      </c>
      <c r="J61" s="178">
        <v>107883</v>
      </c>
      <c r="K61" s="178">
        <f t="shared" si="22"/>
        <v>24647</v>
      </c>
      <c r="L61" s="179">
        <f t="shared" si="2"/>
        <v>100.8</v>
      </c>
      <c r="M61" s="179">
        <f t="shared" si="27"/>
        <v>104.3</v>
      </c>
      <c r="N61" s="179">
        <f t="shared" si="27"/>
        <v>104.3</v>
      </c>
      <c r="O61" s="180">
        <f t="shared" si="10"/>
        <v>100.3</v>
      </c>
    </row>
    <row r="62" spans="1:15" ht="24.95" hidden="1" customHeight="1" x14ac:dyDescent="0.15">
      <c r="A62" s="755"/>
      <c r="B62" s="759" t="s">
        <v>131</v>
      </c>
      <c r="C62" s="724"/>
      <c r="D62" s="80">
        <v>15741835</v>
      </c>
      <c r="E62" s="80">
        <v>15703265</v>
      </c>
      <c r="F62" s="80">
        <v>627279361</v>
      </c>
      <c r="G62" s="80">
        <v>627155844</v>
      </c>
      <c r="H62" s="80">
        <v>625000309</v>
      </c>
      <c r="I62" s="80">
        <v>58176</v>
      </c>
      <c r="J62" s="80">
        <v>56834</v>
      </c>
      <c r="K62" s="80">
        <f t="shared" si="22"/>
        <v>39848</v>
      </c>
      <c r="L62" s="185">
        <f t="shared" si="2"/>
        <v>100.1</v>
      </c>
      <c r="M62" s="185">
        <f t="shared" si="27"/>
        <v>101.3</v>
      </c>
      <c r="N62" s="185">
        <f t="shared" si="27"/>
        <v>101.3</v>
      </c>
      <c r="O62" s="186">
        <f t="shared" si="10"/>
        <v>100.1</v>
      </c>
    </row>
    <row r="63" spans="1:15" ht="24.95" hidden="1" customHeight="1" x14ac:dyDescent="0.15">
      <c r="A63" s="756"/>
      <c r="B63" s="750" t="s">
        <v>93</v>
      </c>
      <c r="C63" s="709"/>
      <c r="D63" s="178">
        <f t="shared" ref="D63:J63" si="29">D61+D62</f>
        <v>28309346</v>
      </c>
      <c r="E63" s="178">
        <f t="shared" si="29"/>
        <v>27908979</v>
      </c>
      <c r="F63" s="178">
        <f t="shared" si="29"/>
        <v>937027667</v>
      </c>
      <c r="G63" s="178">
        <f t="shared" si="29"/>
        <v>936310205</v>
      </c>
      <c r="H63" s="178">
        <f t="shared" si="29"/>
        <v>934741479</v>
      </c>
      <c r="I63" s="178">
        <f t="shared" si="29"/>
        <v>173470</v>
      </c>
      <c r="J63" s="178">
        <f t="shared" si="29"/>
        <v>164717</v>
      </c>
      <c r="K63" s="178">
        <f t="shared" si="22"/>
        <v>33100</v>
      </c>
      <c r="L63" s="179">
        <f t="shared" si="2"/>
        <v>100.4</v>
      </c>
      <c r="M63" s="179">
        <f t="shared" si="27"/>
        <v>102.3</v>
      </c>
      <c r="N63" s="179">
        <f t="shared" si="27"/>
        <v>102.3</v>
      </c>
      <c r="O63" s="180">
        <f t="shared" si="10"/>
        <v>100.2</v>
      </c>
    </row>
    <row r="64" spans="1:15" ht="24.95" hidden="1" customHeight="1" x14ac:dyDescent="0.15">
      <c r="A64" s="754" t="s">
        <v>39</v>
      </c>
      <c r="B64" s="757" t="s">
        <v>130</v>
      </c>
      <c r="C64" s="722"/>
      <c r="D64" s="178">
        <v>12680606</v>
      </c>
      <c r="E64" s="178">
        <v>12330017</v>
      </c>
      <c r="F64" s="178">
        <v>302729249</v>
      </c>
      <c r="G64" s="178">
        <v>302153984</v>
      </c>
      <c r="H64" s="178">
        <v>302513981</v>
      </c>
      <c r="I64" s="178">
        <v>115586</v>
      </c>
      <c r="J64" s="178">
        <v>108400</v>
      </c>
      <c r="K64" s="178">
        <f t="shared" si="22"/>
        <v>23873</v>
      </c>
      <c r="L64" s="179">
        <f t="shared" si="2"/>
        <v>101</v>
      </c>
      <c r="M64" s="179">
        <f t="shared" si="27"/>
        <v>97.7</v>
      </c>
      <c r="N64" s="179">
        <f t="shared" si="27"/>
        <v>97.7</v>
      </c>
      <c r="O64" s="180">
        <f t="shared" si="10"/>
        <v>100.5</v>
      </c>
    </row>
    <row r="65" spans="1:15" ht="24.95" hidden="1" customHeight="1" x14ac:dyDescent="0.15">
      <c r="A65" s="755"/>
      <c r="B65" s="759" t="s">
        <v>131</v>
      </c>
      <c r="C65" s="724"/>
      <c r="D65" s="80">
        <v>15774035</v>
      </c>
      <c r="E65" s="80">
        <v>15734410</v>
      </c>
      <c r="F65" s="80">
        <v>614844806</v>
      </c>
      <c r="G65" s="80">
        <v>614718741</v>
      </c>
      <c r="H65" s="80">
        <v>612848742</v>
      </c>
      <c r="I65" s="80">
        <v>58206</v>
      </c>
      <c r="J65" s="80">
        <v>56830</v>
      </c>
      <c r="K65" s="80">
        <f t="shared" si="22"/>
        <v>38978</v>
      </c>
      <c r="L65" s="185">
        <f t="shared" si="2"/>
        <v>100.2</v>
      </c>
      <c r="M65" s="185">
        <f t="shared" si="27"/>
        <v>98</v>
      </c>
      <c r="N65" s="185">
        <f t="shared" si="27"/>
        <v>98.1</v>
      </c>
      <c r="O65" s="186">
        <f t="shared" si="10"/>
        <v>100</v>
      </c>
    </row>
    <row r="66" spans="1:15" ht="24.95" hidden="1" customHeight="1" x14ac:dyDescent="0.15">
      <c r="A66" s="756"/>
      <c r="B66" s="750" t="s">
        <v>93</v>
      </c>
      <c r="C66" s="709"/>
      <c r="D66" s="178">
        <f t="shared" ref="D66:J66" si="30">D64+D65</f>
        <v>28454641</v>
      </c>
      <c r="E66" s="178">
        <f t="shared" si="30"/>
        <v>28064427</v>
      </c>
      <c r="F66" s="178">
        <f t="shared" si="30"/>
        <v>917574055</v>
      </c>
      <c r="G66" s="178">
        <f t="shared" si="30"/>
        <v>916872725</v>
      </c>
      <c r="H66" s="178">
        <f t="shared" si="30"/>
        <v>915362723</v>
      </c>
      <c r="I66" s="178">
        <f t="shared" si="30"/>
        <v>173792</v>
      </c>
      <c r="J66" s="178">
        <f t="shared" si="30"/>
        <v>165230</v>
      </c>
      <c r="K66" s="178">
        <f t="shared" si="22"/>
        <v>32247</v>
      </c>
      <c r="L66" s="179">
        <f t="shared" si="2"/>
        <v>100.6</v>
      </c>
      <c r="M66" s="179">
        <f t="shared" si="27"/>
        <v>97.9</v>
      </c>
      <c r="N66" s="179">
        <f t="shared" si="27"/>
        <v>97.9</v>
      </c>
      <c r="O66" s="180">
        <f t="shared" si="10"/>
        <v>100.3</v>
      </c>
    </row>
    <row r="67" spans="1:15" ht="24.95" customHeight="1" x14ac:dyDescent="0.15">
      <c r="A67" s="754" t="s">
        <v>134</v>
      </c>
      <c r="B67" s="757" t="s">
        <v>130</v>
      </c>
      <c r="C67" s="722"/>
      <c r="D67" s="178">
        <v>12781470</v>
      </c>
      <c r="E67" s="178">
        <v>12443126</v>
      </c>
      <c r="F67" s="178">
        <v>316840137</v>
      </c>
      <c r="G67" s="178">
        <v>316282413</v>
      </c>
      <c r="H67" s="178">
        <v>316822291</v>
      </c>
      <c r="I67" s="178">
        <v>115828</v>
      </c>
      <c r="J67" s="178">
        <v>108884</v>
      </c>
      <c r="K67" s="178">
        <f t="shared" si="22"/>
        <v>24789</v>
      </c>
      <c r="L67" s="179">
        <f t="shared" si="2"/>
        <v>100.9</v>
      </c>
      <c r="M67" s="179">
        <f>ROUND((G67/G64)*100,1)</f>
        <v>104.7</v>
      </c>
      <c r="N67" s="179">
        <f t="shared" si="27"/>
        <v>104.7</v>
      </c>
      <c r="O67" s="180">
        <f t="shared" si="10"/>
        <v>100.4</v>
      </c>
    </row>
    <row r="68" spans="1:15" ht="24.95" customHeight="1" x14ac:dyDescent="0.15">
      <c r="A68" s="755"/>
      <c r="B68" s="759" t="s">
        <v>131</v>
      </c>
      <c r="C68" s="724"/>
      <c r="D68" s="80">
        <v>15797883</v>
      </c>
      <c r="E68" s="80">
        <v>15758709</v>
      </c>
      <c r="F68" s="80">
        <v>624470005</v>
      </c>
      <c r="G68" s="80">
        <v>624345261</v>
      </c>
      <c r="H68" s="80">
        <v>622266944</v>
      </c>
      <c r="I68" s="80">
        <v>58248</v>
      </c>
      <c r="J68" s="80">
        <v>56879</v>
      </c>
      <c r="K68" s="80">
        <f t="shared" si="22"/>
        <v>39529</v>
      </c>
      <c r="L68" s="185">
        <f t="shared" si="2"/>
        <v>100.2</v>
      </c>
      <c r="M68" s="185">
        <f>ROUND((G68/G65)*100,1)</f>
        <v>101.6</v>
      </c>
      <c r="N68" s="185">
        <f t="shared" si="27"/>
        <v>101.5</v>
      </c>
      <c r="O68" s="186">
        <f t="shared" si="10"/>
        <v>100.1</v>
      </c>
    </row>
    <row r="69" spans="1:15" ht="24.95" customHeight="1" x14ac:dyDescent="0.15">
      <c r="A69" s="756"/>
      <c r="B69" s="750" t="s">
        <v>93</v>
      </c>
      <c r="C69" s="709"/>
      <c r="D69" s="178">
        <f t="shared" ref="D69:J69" si="31">D67+D68</f>
        <v>28579353</v>
      </c>
      <c r="E69" s="178">
        <f t="shared" si="31"/>
        <v>28201835</v>
      </c>
      <c r="F69" s="178">
        <f t="shared" si="31"/>
        <v>941310142</v>
      </c>
      <c r="G69" s="178">
        <f t="shared" si="31"/>
        <v>940627674</v>
      </c>
      <c r="H69" s="178">
        <f t="shared" si="31"/>
        <v>939089235</v>
      </c>
      <c r="I69" s="178">
        <f t="shared" si="31"/>
        <v>174076</v>
      </c>
      <c r="J69" s="178">
        <f t="shared" si="31"/>
        <v>165763</v>
      </c>
      <c r="K69" s="178">
        <f t="shared" si="22"/>
        <v>32937</v>
      </c>
      <c r="L69" s="179">
        <f t="shared" si="2"/>
        <v>100.5</v>
      </c>
      <c r="M69" s="179">
        <f t="shared" si="27"/>
        <v>102.6</v>
      </c>
      <c r="N69" s="179">
        <f t="shared" si="27"/>
        <v>102.6</v>
      </c>
      <c r="O69" s="180">
        <f t="shared" si="10"/>
        <v>100.3</v>
      </c>
    </row>
    <row r="70" spans="1:15" ht="24.95" customHeight="1" x14ac:dyDescent="0.15">
      <c r="A70" s="754" t="s">
        <v>135</v>
      </c>
      <c r="B70" s="757" t="s">
        <v>130</v>
      </c>
      <c r="C70" s="722"/>
      <c r="D70" s="178">
        <v>12849689</v>
      </c>
      <c r="E70" s="178">
        <v>12525079</v>
      </c>
      <c r="F70" s="178">
        <v>331081148</v>
      </c>
      <c r="G70" s="178">
        <v>330546154</v>
      </c>
      <c r="H70" s="178">
        <v>331039994</v>
      </c>
      <c r="I70" s="178">
        <v>115869</v>
      </c>
      <c r="J70" s="178">
        <v>109206</v>
      </c>
      <c r="K70" s="178">
        <f t="shared" si="22"/>
        <v>25766</v>
      </c>
      <c r="L70" s="179">
        <f t="shared" si="2"/>
        <v>100.7</v>
      </c>
      <c r="M70" s="179">
        <f t="shared" si="27"/>
        <v>104.5</v>
      </c>
      <c r="N70" s="179">
        <f t="shared" si="27"/>
        <v>104.5</v>
      </c>
      <c r="O70" s="180">
        <f t="shared" si="10"/>
        <v>100.3</v>
      </c>
    </row>
    <row r="71" spans="1:15" ht="24.95" customHeight="1" x14ac:dyDescent="0.15">
      <c r="A71" s="755"/>
      <c r="B71" s="759" t="s">
        <v>131</v>
      </c>
      <c r="C71" s="724"/>
      <c r="D71" s="80">
        <v>15819606</v>
      </c>
      <c r="E71" s="80">
        <v>15777991</v>
      </c>
      <c r="F71" s="80">
        <v>634549008</v>
      </c>
      <c r="G71" s="80">
        <v>634424455</v>
      </c>
      <c r="H71" s="80">
        <v>632340486</v>
      </c>
      <c r="I71" s="80">
        <v>58254</v>
      </c>
      <c r="J71" s="80">
        <v>56882</v>
      </c>
      <c r="K71" s="80">
        <f t="shared" si="22"/>
        <v>40112</v>
      </c>
      <c r="L71" s="185">
        <f t="shared" si="2"/>
        <v>100.1</v>
      </c>
      <c r="M71" s="185">
        <f t="shared" si="27"/>
        <v>101.6</v>
      </c>
      <c r="N71" s="185">
        <f t="shared" si="27"/>
        <v>101.6</v>
      </c>
      <c r="O71" s="186">
        <f t="shared" si="10"/>
        <v>100</v>
      </c>
    </row>
    <row r="72" spans="1:15" ht="24.95" customHeight="1" x14ac:dyDescent="0.15">
      <c r="A72" s="756"/>
      <c r="B72" s="750" t="s">
        <v>93</v>
      </c>
      <c r="C72" s="709"/>
      <c r="D72" s="178">
        <f t="shared" ref="D72:J72" si="32">D70+D71</f>
        <v>28669295</v>
      </c>
      <c r="E72" s="178">
        <f t="shared" si="32"/>
        <v>28303070</v>
      </c>
      <c r="F72" s="178">
        <f t="shared" si="32"/>
        <v>965630156</v>
      </c>
      <c r="G72" s="178">
        <f t="shared" si="32"/>
        <v>964970609</v>
      </c>
      <c r="H72" s="178">
        <f t="shared" si="32"/>
        <v>963380480</v>
      </c>
      <c r="I72" s="178">
        <f t="shared" si="32"/>
        <v>174123</v>
      </c>
      <c r="J72" s="178">
        <f t="shared" si="32"/>
        <v>166088</v>
      </c>
      <c r="K72" s="178">
        <f t="shared" si="22"/>
        <v>33682</v>
      </c>
      <c r="L72" s="179">
        <f t="shared" si="2"/>
        <v>100.4</v>
      </c>
      <c r="M72" s="179">
        <f t="shared" si="27"/>
        <v>102.6</v>
      </c>
      <c r="N72" s="183">
        <f t="shared" si="27"/>
        <v>102.6</v>
      </c>
      <c r="O72" s="184">
        <f t="shared" si="10"/>
        <v>100.2</v>
      </c>
    </row>
    <row r="73" spans="1:15" ht="24.95" customHeight="1" x14ac:dyDescent="0.15">
      <c r="A73" s="754" t="s">
        <v>136</v>
      </c>
      <c r="B73" s="757" t="s">
        <v>130</v>
      </c>
      <c r="C73" s="722"/>
      <c r="D73" s="178">
        <v>12955897</v>
      </c>
      <c r="E73" s="178">
        <v>12604423</v>
      </c>
      <c r="F73" s="178">
        <v>311125573</v>
      </c>
      <c r="G73" s="178">
        <v>309713903</v>
      </c>
      <c r="H73" s="178">
        <v>310770130</v>
      </c>
      <c r="I73" s="178">
        <v>116219</v>
      </c>
      <c r="J73" s="178">
        <v>109476</v>
      </c>
      <c r="K73" s="178">
        <f t="shared" si="22"/>
        <v>24014</v>
      </c>
      <c r="L73" s="179">
        <f t="shared" si="2"/>
        <v>100.6</v>
      </c>
      <c r="M73" s="179">
        <f t="shared" si="27"/>
        <v>93.7</v>
      </c>
      <c r="N73" s="179">
        <f t="shared" si="27"/>
        <v>93.9</v>
      </c>
      <c r="O73" s="180">
        <f t="shared" si="10"/>
        <v>100.2</v>
      </c>
    </row>
    <row r="74" spans="1:15" ht="24.95" customHeight="1" x14ac:dyDescent="0.15">
      <c r="A74" s="755"/>
      <c r="B74" s="759" t="s">
        <v>131</v>
      </c>
      <c r="C74" s="724"/>
      <c r="D74" s="80">
        <v>15853905</v>
      </c>
      <c r="E74" s="80">
        <v>15291141</v>
      </c>
      <c r="F74" s="80">
        <v>623106564</v>
      </c>
      <c r="G74" s="80">
        <v>602886032</v>
      </c>
      <c r="H74" s="80">
        <v>567884516</v>
      </c>
      <c r="I74" s="80">
        <v>58554</v>
      </c>
      <c r="J74" s="80">
        <v>56202</v>
      </c>
      <c r="K74" s="80">
        <f t="shared" si="22"/>
        <v>39303</v>
      </c>
      <c r="L74" s="185">
        <f t="shared" ref="L74:L78" si="33">ROUND((E74/E71)*100,1)</f>
        <v>96.9</v>
      </c>
      <c r="M74" s="185">
        <f t="shared" ref="M74:N78" si="34">ROUND((G74/G71)*100,1)</f>
        <v>95</v>
      </c>
      <c r="N74" s="185">
        <f t="shared" si="34"/>
        <v>89.8</v>
      </c>
      <c r="O74" s="186">
        <f t="shared" si="10"/>
        <v>98.8</v>
      </c>
    </row>
    <row r="75" spans="1:15" ht="24.95" customHeight="1" x14ac:dyDescent="0.15">
      <c r="A75" s="756"/>
      <c r="B75" s="750" t="s">
        <v>93</v>
      </c>
      <c r="C75" s="709"/>
      <c r="D75" s="178">
        <f t="shared" ref="D75:J75" si="35">D73+D74</f>
        <v>28809802</v>
      </c>
      <c r="E75" s="178">
        <f t="shared" si="35"/>
        <v>27895564</v>
      </c>
      <c r="F75" s="178">
        <f t="shared" si="35"/>
        <v>934232137</v>
      </c>
      <c r="G75" s="178">
        <f t="shared" si="35"/>
        <v>912599935</v>
      </c>
      <c r="H75" s="178">
        <f t="shared" si="35"/>
        <v>878654646</v>
      </c>
      <c r="I75" s="178">
        <f t="shared" si="35"/>
        <v>174773</v>
      </c>
      <c r="J75" s="178">
        <f t="shared" si="35"/>
        <v>165678</v>
      </c>
      <c r="K75" s="178">
        <f t="shared" si="22"/>
        <v>32428</v>
      </c>
      <c r="L75" s="179">
        <f t="shared" si="33"/>
        <v>98.6</v>
      </c>
      <c r="M75" s="179">
        <f t="shared" si="34"/>
        <v>94.6</v>
      </c>
      <c r="N75" s="183">
        <f t="shared" si="34"/>
        <v>91.2</v>
      </c>
      <c r="O75" s="184">
        <f t="shared" si="10"/>
        <v>99.8</v>
      </c>
    </row>
    <row r="76" spans="1:15" ht="24.95" customHeight="1" x14ac:dyDescent="0.15">
      <c r="A76" s="754" t="s">
        <v>137</v>
      </c>
      <c r="B76" s="757" t="s">
        <v>130</v>
      </c>
      <c r="C76" s="722"/>
      <c r="D76" s="178">
        <v>13057446</v>
      </c>
      <c r="E76" s="178">
        <v>12755053</v>
      </c>
      <c r="F76" s="178">
        <v>325704591</v>
      </c>
      <c r="G76" s="178">
        <v>325205020</v>
      </c>
      <c r="H76" s="178">
        <v>325651627</v>
      </c>
      <c r="I76" s="178">
        <v>116581</v>
      </c>
      <c r="J76" s="178">
        <v>110341</v>
      </c>
      <c r="K76" s="178">
        <f>ROUND((F76*1000)/D76,0)</f>
        <v>24944</v>
      </c>
      <c r="L76" s="179">
        <f t="shared" si="33"/>
        <v>101.2</v>
      </c>
      <c r="M76" s="179">
        <f t="shared" si="34"/>
        <v>105</v>
      </c>
      <c r="N76" s="179">
        <f t="shared" si="34"/>
        <v>104.8</v>
      </c>
      <c r="O76" s="180">
        <f t="shared" si="10"/>
        <v>100.8</v>
      </c>
    </row>
    <row r="77" spans="1:15" ht="24.95" customHeight="1" x14ac:dyDescent="0.15">
      <c r="A77" s="755"/>
      <c r="B77" s="759" t="s">
        <v>131</v>
      </c>
      <c r="C77" s="724"/>
      <c r="D77" s="80">
        <v>15899381</v>
      </c>
      <c r="E77" s="80">
        <v>15860429</v>
      </c>
      <c r="F77" s="80">
        <v>634798515</v>
      </c>
      <c r="G77" s="80">
        <v>634675021</v>
      </c>
      <c r="H77" s="80">
        <v>632515844</v>
      </c>
      <c r="I77" s="80">
        <v>58714</v>
      </c>
      <c r="J77" s="80">
        <v>57343</v>
      </c>
      <c r="K77" s="80">
        <f>ROUND((F77*1000)/D77,0)</f>
        <v>39926</v>
      </c>
      <c r="L77" s="185">
        <f t="shared" si="33"/>
        <v>103.7</v>
      </c>
      <c r="M77" s="185">
        <f t="shared" si="34"/>
        <v>105.3</v>
      </c>
      <c r="N77" s="185">
        <f t="shared" si="34"/>
        <v>111.4</v>
      </c>
      <c r="O77" s="186">
        <f t="shared" si="10"/>
        <v>102</v>
      </c>
    </row>
    <row r="78" spans="1:15" ht="24.95" customHeight="1" x14ac:dyDescent="0.15">
      <c r="A78" s="756"/>
      <c r="B78" s="750" t="s">
        <v>93</v>
      </c>
      <c r="C78" s="709"/>
      <c r="D78" s="178">
        <f t="shared" ref="D78:J78" si="36">D76+D77</f>
        <v>28956827</v>
      </c>
      <c r="E78" s="178">
        <f t="shared" si="36"/>
        <v>28615482</v>
      </c>
      <c r="F78" s="178">
        <f t="shared" si="36"/>
        <v>960503106</v>
      </c>
      <c r="G78" s="178">
        <f t="shared" si="36"/>
        <v>959880041</v>
      </c>
      <c r="H78" s="178">
        <f t="shared" si="36"/>
        <v>958167471</v>
      </c>
      <c r="I78" s="178">
        <f t="shared" si="36"/>
        <v>175295</v>
      </c>
      <c r="J78" s="178">
        <f t="shared" si="36"/>
        <v>167684</v>
      </c>
      <c r="K78" s="178">
        <f>ROUND((F78*1000)/D78,0)</f>
        <v>33170</v>
      </c>
      <c r="L78" s="179">
        <f t="shared" si="33"/>
        <v>102.6</v>
      </c>
      <c r="M78" s="179">
        <f t="shared" si="34"/>
        <v>105.2</v>
      </c>
      <c r="N78" s="183">
        <f t="shared" si="34"/>
        <v>109</v>
      </c>
      <c r="O78" s="184">
        <f t="shared" si="10"/>
        <v>101.2</v>
      </c>
    </row>
    <row r="79" spans="1:15" s="192" customFormat="1" ht="24.95" customHeight="1" x14ac:dyDescent="0.15">
      <c r="A79" s="760" t="s">
        <v>138</v>
      </c>
      <c r="B79" s="187"/>
      <c r="C79" s="187" t="s">
        <v>139</v>
      </c>
      <c r="D79" s="188">
        <v>9888499</v>
      </c>
      <c r="E79" s="188">
        <v>9704460</v>
      </c>
      <c r="F79" s="188">
        <v>302221507</v>
      </c>
      <c r="G79" s="188">
        <v>301911538</v>
      </c>
      <c r="H79" s="188">
        <v>302216194</v>
      </c>
      <c r="I79" s="188">
        <v>78802</v>
      </c>
      <c r="J79" s="188">
        <v>75796</v>
      </c>
      <c r="K79" s="188">
        <f t="shared" si="22"/>
        <v>30563</v>
      </c>
      <c r="L79" s="189">
        <f>ROUND((E79/9605693)*100,1)</f>
        <v>101</v>
      </c>
      <c r="M79" s="189">
        <f>ROUND((G79/285043996)*100,1)</f>
        <v>105.9</v>
      </c>
      <c r="N79" s="190">
        <f>ROUND((H79/285361659)*100,1)</f>
        <v>105.9</v>
      </c>
      <c r="O79" s="191">
        <f>ROUND((J79/75069)*100,1)</f>
        <v>101</v>
      </c>
    </row>
    <row r="80" spans="1:15" s="192" customFormat="1" ht="24.95" customHeight="1" x14ac:dyDescent="0.15">
      <c r="A80" s="761"/>
      <c r="B80" s="193"/>
      <c r="C80" s="194" t="s">
        <v>140</v>
      </c>
      <c r="D80" s="195">
        <v>575620</v>
      </c>
      <c r="E80" s="195">
        <v>575251</v>
      </c>
      <c r="F80" s="195">
        <v>23875187</v>
      </c>
      <c r="G80" s="195">
        <v>23874475</v>
      </c>
      <c r="H80" s="195">
        <v>23875187</v>
      </c>
      <c r="I80" s="195">
        <v>2239</v>
      </c>
      <c r="J80" s="195">
        <v>2234</v>
      </c>
      <c r="K80" s="196">
        <f t="shared" si="22"/>
        <v>41477</v>
      </c>
      <c r="L80" s="190">
        <f>ROUND((E80/548660)*100,1)</f>
        <v>104.8</v>
      </c>
      <c r="M80" s="190">
        <f>ROUND((G80/21804368)*100,1)</f>
        <v>109.5</v>
      </c>
      <c r="N80" s="190">
        <f>ROUND((H80/21805080)*100,1)</f>
        <v>109.5</v>
      </c>
      <c r="O80" s="191">
        <f>ROUND((J80/2181)*100,1)</f>
        <v>102.4</v>
      </c>
    </row>
    <row r="81" spans="1:15" s="192" customFormat="1" ht="24.95" customHeight="1" x14ac:dyDescent="0.15">
      <c r="A81" s="761"/>
      <c r="B81" s="193" t="s">
        <v>141</v>
      </c>
      <c r="C81" s="194" t="s">
        <v>142</v>
      </c>
      <c r="D81" s="195">
        <v>1313620</v>
      </c>
      <c r="E81" s="195">
        <v>1304354</v>
      </c>
      <c r="F81" s="195">
        <v>7733650</v>
      </c>
      <c r="G81" s="195">
        <v>7717227</v>
      </c>
      <c r="H81" s="195">
        <v>7733596</v>
      </c>
      <c r="I81" s="195">
        <v>13247</v>
      </c>
      <c r="J81" s="195">
        <v>13109</v>
      </c>
      <c r="K81" s="196">
        <f t="shared" si="22"/>
        <v>5887</v>
      </c>
      <c r="L81" s="190">
        <f>ROUND((E81/1311505)*100,1)</f>
        <v>99.5</v>
      </c>
      <c r="M81" s="190">
        <f>ROUND((G81/7694093)*100,1)</f>
        <v>100.3</v>
      </c>
      <c r="N81" s="190">
        <f>ROUND((H81/7711083)*100,1)</f>
        <v>100.3</v>
      </c>
      <c r="O81" s="191">
        <f>ROUND((J81/13170)*100,1)</f>
        <v>99.5</v>
      </c>
    </row>
    <row r="82" spans="1:15" s="192" customFormat="1" ht="24.95" customHeight="1" x14ac:dyDescent="0.15">
      <c r="A82" s="761"/>
      <c r="B82" s="193"/>
      <c r="C82" s="194" t="s">
        <v>143</v>
      </c>
      <c r="D82" s="195">
        <v>16543</v>
      </c>
      <c r="E82" s="195">
        <v>16543</v>
      </c>
      <c r="F82" s="195">
        <v>46822</v>
      </c>
      <c r="G82" s="195">
        <v>46822</v>
      </c>
      <c r="H82" s="195">
        <v>46696</v>
      </c>
      <c r="I82" s="195">
        <v>327</v>
      </c>
      <c r="J82" s="195">
        <v>327</v>
      </c>
      <c r="K82" s="196">
        <f t="shared" si="22"/>
        <v>2830</v>
      </c>
      <c r="L82" s="190">
        <f>ROUND((E82/16641)*100,1)</f>
        <v>99.4</v>
      </c>
      <c r="M82" s="190">
        <f>ROUND((G82/48230)*100,1)</f>
        <v>97.1</v>
      </c>
      <c r="N82" s="190">
        <f>ROUND((H82/48104)*100,1)</f>
        <v>97.1</v>
      </c>
      <c r="O82" s="191">
        <f>ROUND((J82/328)*100,1)</f>
        <v>99.7</v>
      </c>
    </row>
    <row r="83" spans="1:15" s="192" customFormat="1" ht="24.95" customHeight="1" x14ac:dyDescent="0.15">
      <c r="A83" s="761"/>
      <c r="B83" s="193"/>
      <c r="C83" s="194" t="s">
        <v>144</v>
      </c>
      <c r="D83" s="195">
        <v>647506</v>
      </c>
      <c r="E83" s="195">
        <v>635109</v>
      </c>
      <c r="F83" s="195">
        <v>6623026</v>
      </c>
      <c r="G83" s="195">
        <v>6599736</v>
      </c>
      <c r="H83" s="195">
        <v>6569955</v>
      </c>
      <c r="I83" s="195">
        <v>6622</v>
      </c>
      <c r="J83" s="195">
        <v>6402</v>
      </c>
      <c r="K83" s="196">
        <f t="shared" si="22"/>
        <v>10229</v>
      </c>
      <c r="L83" s="190">
        <f>ROUND((E83/632602)*100,1)</f>
        <v>100.4</v>
      </c>
      <c r="M83" s="190">
        <f>ROUND((G83/6278398)*100,1)</f>
        <v>105.1</v>
      </c>
      <c r="N83" s="190">
        <f>ROUND((H83/6256428)*100,1)</f>
        <v>105</v>
      </c>
      <c r="O83" s="191">
        <f>ROUND((J83/6388)*100,1)</f>
        <v>100.2</v>
      </c>
    </row>
    <row r="84" spans="1:15" s="192" customFormat="1" ht="24.95" customHeight="1" x14ac:dyDescent="0.15">
      <c r="A84" s="761"/>
      <c r="B84" s="193" t="s">
        <v>145</v>
      </c>
      <c r="C84" s="194" t="s">
        <v>146</v>
      </c>
      <c r="D84" s="195">
        <v>159077</v>
      </c>
      <c r="E84" s="195">
        <v>144516</v>
      </c>
      <c r="F84" s="195">
        <v>1221086</v>
      </c>
      <c r="G84" s="195">
        <v>1206855</v>
      </c>
      <c r="H84" s="195">
        <v>1221002</v>
      </c>
      <c r="I84" s="195">
        <v>373</v>
      </c>
      <c r="J84" s="195">
        <v>121</v>
      </c>
      <c r="K84" s="196">
        <f t="shared" si="22"/>
        <v>7676</v>
      </c>
      <c r="L84" s="190">
        <f>ROUND((E84/144327)*100,1)</f>
        <v>100.1</v>
      </c>
      <c r="M84" s="190">
        <f>ROUND((G84/1120906)*100,1)</f>
        <v>107.7</v>
      </c>
      <c r="N84" s="190">
        <f>ROUND((H84/1135501)*100,1)</f>
        <v>107.5</v>
      </c>
      <c r="O84" s="191">
        <f>ROUND((J84/128)*100,1)</f>
        <v>94.5</v>
      </c>
    </row>
    <row r="85" spans="1:15" s="192" customFormat="1" ht="24.95" customHeight="1" x14ac:dyDescent="0.15">
      <c r="A85" s="761"/>
      <c r="B85" s="193"/>
      <c r="C85" s="197" t="s">
        <v>83</v>
      </c>
      <c r="D85" s="198">
        <v>560752</v>
      </c>
      <c r="E85" s="198">
        <v>489213</v>
      </c>
      <c r="F85" s="198">
        <v>3332177</v>
      </c>
      <c r="G85" s="198">
        <v>3214959</v>
      </c>
      <c r="H85" s="198">
        <v>3330831</v>
      </c>
      <c r="I85" s="198">
        <v>15364</v>
      </c>
      <c r="J85" s="198">
        <v>12971</v>
      </c>
      <c r="K85" s="198">
        <f t="shared" si="22"/>
        <v>5942</v>
      </c>
      <c r="L85" s="190">
        <f>ROUND((E85/495625)*100,1)</f>
        <v>98.7</v>
      </c>
      <c r="M85" s="190">
        <f>ROUND((G85/3215029)*100,1)</f>
        <v>100</v>
      </c>
      <c r="N85" s="199">
        <f>ROUND((H85/3333772)*100,1)</f>
        <v>99.9</v>
      </c>
      <c r="O85" s="200">
        <f>ROUND((J85/13077)*100,1)</f>
        <v>99.2</v>
      </c>
    </row>
    <row r="86" spans="1:15" s="192" customFormat="1" ht="24.95" customHeight="1" x14ac:dyDescent="0.15">
      <c r="A86" s="761"/>
      <c r="B86" s="201"/>
      <c r="C86" s="202" t="s">
        <v>29</v>
      </c>
      <c r="D86" s="203">
        <f>SUM(D79:D85)</f>
        <v>13161617</v>
      </c>
      <c r="E86" s="203">
        <f t="shared" ref="E86:J86" si="37">SUM(E79:E85)</f>
        <v>12869446</v>
      </c>
      <c r="F86" s="203">
        <f t="shared" si="37"/>
        <v>345053455</v>
      </c>
      <c r="G86" s="203">
        <f t="shared" si="37"/>
        <v>344571612</v>
      </c>
      <c r="H86" s="203">
        <f>SUM(H79:H85)</f>
        <v>344993461</v>
      </c>
      <c r="I86" s="203">
        <f t="shared" si="37"/>
        <v>116974</v>
      </c>
      <c r="J86" s="203">
        <f t="shared" si="37"/>
        <v>110960</v>
      </c>
      <c r="K86" s="203">
        <f t="shared" si="22"/>
        <v>26217</v>
      </c>
      <c r="L86" s="204">
        <f>ROUND((E86/E76)*100,1)</f>
        <v>100.9</v>
      </c>
      <c r="M86" s="204">
        <f>ROUND((G86/G76)*100,1)</f>
        <v>106</v>
      </c>
      <c r="N86" s="204">
        <f>ROUND((H86/H76)*100,1)</f>
        <v>105.9</v>
      </c>
      <c r="O86" s="205">
        <f>ROUND((J86/J76)*100,1)</f>
        <v>100.6</v>
      </c>
    </row>
    <row r="87" spans="1:15" s="192" customFormat="1" ht="24.95" customHeight="1" x14ac:dyDescent="0.15">
      <c r="A87" s="761"/>
      <c r="B87" s="206"/>
      <c r="C87" s="207" t="s">
        <v>147</v>
      </c>
      <c r="D87" s="188">
        <v>3496055</v>
      </c>
      <c r="E87" s="188">
        <v>3495244</v>
      </c>
      <c r="F87" s="188">
        <v>187361359</v>
      </c>
      <c r="G87" s="188">
        <v>187357746</v>
      </c>
      <c r="H87" s="188">
        <v>185128967</v>
      </c>
      <c r="I87" s="188">
        <v>6033</v>
      </c>
      <c r="J87" s="188">
        <v>6003</v>
      </c>
      <c r="K87" s="188">
        <f t="shared" si="22"/>
        <v>53592</v>
      </c>
      <c r="L87" s="190">
        <f>ROUND((E87/3496080)*100,1)</f>
        <v>100</v>
      </c>
      <c r="M87" s="190">
        <f>ROUND((G87/182303627)*100,1)</f>
        <v>102.8</v>
      </c>
      <c r="N87" s="189">
        <f>ROUND((H87/180275439)*100,1)</f>
        <v>102.7</v>
      </c>
      <c r="O87" s="208">
        <f>ROUND((J87/6025)*100,1)</f>
        <v>99.6</v>
      </c>
    </row>
    <row r="88" spans="1:15" s="192" customFormat="1" ht="24.95" customHeight="1" x14ac:dyDescent="0.15">
      <c r="A88" s="761"/>
      <c r="B88" s="193" t="s">
        <v>148</v>
      </c>
      <c r="C88" s="209" t="s">
        <v>149</v>
      </c>
      <c r="D88" s="195">
        <v>8218596</v>
      </c>
      <c r="E88" s="195">
        <v>8216406</v>
      </c>
      <c r="F88" s="195">
        <v>355087012</v>
      </c>
      <c r="G88" s="195">
        <v>355077922</v>
      </c>
      <c r="H88" s="195">
        <v>355079722</v>
      </c>
      <c r="I88" s="195">
        <v>32044</v>
      </c>
      <c r="J88" s="195">
        <v>31947</v>
      </c>
      <c r="K88" s="195">
        <f t="shared" si="22"/>
        <v>43205</v>
      </c>
      <c r="L88" s="190">
        <f>ROUND((E88/8169826)*100,1)</f>
        <v>100.6</v>
      </c>
      <c r="M88" s="190">
        <f>ROUND((G88/343874210)*100,1)</f>
        <v>103.3</v>
      </c>
      <c r="N88" s="190">
        <f>ROUND((H88/343876218)*100,1)</f>
        <v>103.3</v>
      </c>
      <c r="O88" s="191">
        <f>ROUND((J88/31794)*100,1)</f>
        <v>100.5</v>
      </c>
    </row>
    <row r="89" spans="1:15" s="192" customFormat="1" ht="24.95" customHeight="1" x14ac:dyDescent="0.15">
      <c r="A89" s="761"/>
      <c r="B89" s="193" t="s">
        <v>150</v>
      </c>
      <c r="C89" s="209" t="s">
        <v>151</v>
      </c>
      <c r="D89" s="195">
        <v>641866</v>
      </c>
      <c r="E89" s="195">
        <v>641866</v>
      </c>
      <c r="F89" s="195">
        <v>45148475</v>
      </c>
      <c r="G89" s="195">
        <v>45148475</v>
      </c>
      <c r="H89" s="195">
        <v>45142979</v>
      </c>
      <c r="I89" s="195">
        <v>342</v>
      </c>
      <c r="J89" s="195">
        <v>342</v>
      </c>
      <c r="K89" s="195">
        <f t="shared" si="22"/>
        <v>70339</v>
      </c>
      <c r="L89" s="190">
        <f>ROUND((E89/638441)*100,1)</f>
        <v>100.5</v>
      </c>
      <c r="M89" s="190">
        <f>ROUND((G89/44532727)*100,1)</f>
        <v>101.4</v>
      </c>
      <c r="N89" s="190">
        <f>ROUND((H89/44532727)*100,1)</f>
        <v>101.4</v>
      </c>
      <c r="O89" s="191">
        <f>ROUND((J89/343)*100,1)</f>
        <v>99.7</v>
      </c>
    </row>
    <row r="90" spans="1:15" s="192" customFormat="1" ht="24.95" customHeight="1" x14ac:dyDescent="0.15">
      <c r="A90" s="761"/>
      <c r="B90" s="193" t="s">
        <v>145</v>
      </c>
      <c r="C90" s="209" t="s">
        <v>152</v>
      </c>
      <c r="D90" s="195">
        <v>2228604</v>
      </c>
      <c r="E90" s="195">
        <v>2225704</v>
      </c>
      <c r="F90" s="195">
        <v>45711527</v>
      </c>
      <c r="G90" s="195">
        <v>45703752</v>
      </c>
      <c r="H90" s="195">
        <v>45625735</v>
      </c>
      <c r="I90" s="195">
        <v>4138</v>
      </c>
      <c r="J90" s="195">
        <v>4075</v>
      </c>
      <c r="K90" s="195">
        <f t="shared" si="22"/>
        <v>20511</v>
      </c>
      <c r="L90" s="190">
        <f>ROUND((E90/2212065)*100,1)</f>
        <v>100.6</v>
      </c>
      <c r="M90" s="190">
        <f>ROUND((G90/42390573)*100,1)</f>
        <v>107.8</v>
      </c>
      <c r="N90" s="190">
        <f>ROUND((H90/42312218)*100,1)</f>
        <v>107.8</v>
      </c>
      <c r="O90" s="191">
        <f>ROUND((J90/4110)*100,1)</f>
        <v>99.1</v>
      </c>
    </row>
    <row r="91" spans="1:15" s="192" customFormat="1" ht="24.95" customHeight="1" x14ac:dyDescent="0.15">
      <c r="A91" s="761"/>
      <c r="B91" s="193"/>
      <c r="C91" s="210" t="s">
        <v>83</v>
      </c>
      <c r="D91" s="198">
        <v>1375331</v>
      </c>
      <c r="E91" s="198">
        <v>1342564</v>
      </c>
      <c r="F91" s="198">
        <v>21825220</v>
      </c>
      <c r="G91" s="198">
        <v>21722622</v>
      </c>
      <c r="H91" s="198">
        <v>21809761</v>
      </c>
      <c r="I91" s="198">
        <v>16239</v>
      </c>
      <c r="J91" s="198">
        <v>15064</v>
      </c>
      <c r="K91" s="198">
        <f t="shared" si="22"/>
        <v>15869</v>
      </c>
      <c r="L91" s="190">
        <f>ROUND((E91/1344017)*100,1)</f>
        <v>99.9</v>
      </c>
      <c r="M91" s="190">
        <f>ROUND((G91/21573884)*100,1)</f>
        <v>100.7</v>
      </c>
      <c r="N91" s="199">
        <f>ROUND((H91/21519242)*100,1)</f>
        <v>101.4</v>
      </c>
      <c r="O91" s="200">
        <f>ROUND((J91/15071)*100,1)</f>
        <v>100</v>
      </c>
    </row>
    <row r="92" spans="1:15" s="192" customFormat="1" ht="24.95" customHeight="1" x14ac:dyDescent="0.15">
      <c r="A92" s="761"/>
      <c r="B92" s="193"/>
      <c r="C92" s="206" t="s">
        <v>29</v>
      </c>
      <c r="D92" s="203">
        <f t="shared" ref="D92:J92" si="38">SUM(D87:D91)</f>
        <v>15960452</v>
      </c>
      <c r="E92" s="203">
        <f t="shared" si="38"/>
        <v>15921784</v>
      </c>
      <c r="F92" s="203">
        <f t="shared" si="38"/>
        <v>655133593</v>
      </c>
      <c r="G92" s="203">
        <f t="shared" si="38"/>
        <v>655010517</v>
      </c>
      <c r="H92" s="203">
        <f t="shared" si="38"/>
        <v>652787164</v>
      </c>
      <c r="I92" s="203">
        <f t="shared" si="38"/>
        <v>58796</v>
      </c>
      <c r="J92" s="203">
        <f t="shared" si="38"/>
        <v>57431</v>
      </c>
      <c r="K92" s="203">
        <f t="shared" si="22"/>
        <v>41047</v>
      </c>
      <c r="L92" s="211">
        <f>ROUND((E92/E77)*100,1)</f>
        <v>100.4</v>
      </c>
      <c r="M92" s="211">
        <f>ROUND((G92/G77)*100,1)</f>
        <v>103.2</v>
      </c>
      <c r="N92" s="211">
        <f>ROUND((H92/H77)*100,1)</f>
        <v>103.2</v>
      </c>
      <c r="O92" s="212">
        <f>ROUND((J92/J77)*100,1)</f>
        <v>100.2</v>
      </c>
    </row>
    <row r="93" spans="1:15" ht="24.95" customHeight="1" thickBot="1" x14ac:dyDescent="0.2">
      <c r="A93" s="762"/>
      <c r="B93" s="763" t="s">
        <v>58</v>
      </c>
      <c r="C93" s="764"/>
      <c r="D93" s="213">
        <f>D86+D92</f>
        <v>29122069</v>
      </c>
      <c r="E93" s="213">
        <f t="shared" ref="E93:J93" si="39">E86+E92</f>
        <v>28791230</v>
      </c>
      <c r="F93" s="213">
        <f t="shared" si="39"/>
        <v>1000187048</v>
      </c>
      <c r="G93" s="213">
        <f t="shared" si="39"/>
        <v>999582129</v>
      </c>
      <c r="H93" s="213">
        <f t="shared" si="39"/>
        <v>997780625</v>
      </c>
      <c r="I93" s="213">
        <f t="shared" si="39"/>
        <v>175770</v>
      </c>
      <c r="J93" s="213">
        <f t="shared" si="39"/>
        <v>168391</v>
      </c>
      <c r="K93" s="213">
        <f>ROUND((F93*1000)/D93,0)</f>
        <v>34345</v>
      </c>
      <c r="L93" s="214">
        <f>ROUND((E93/E78)*100,1)</f>
        <v>100.6</v>
      </c>
      <c r="M93" s="214">
        <f>ROUND((G93/G78)*100,1)</f>
        <v>104.1</v>
      </c>
      <c r="N93" s="214">
        <f>ROUND((H93/H78)*100,1)</f>
        <v>104.1</v>
      </c>
      <c r="O93" s="215">
        <f>ROUND((J93/J78)*100,1)</f>
        <v>100.4</v>
      </c>
    </row>
    <row r="94" spans="1:15" ht="17.25" customHeight="1" x14ac:dyDescent="0.15">
      <c r="A94" s="62" t="s">
        <v>153</v>
      </c>
    </row>
    <row r="95" spans="1:15" ht="17.25" customHeight="1" x14ac:dyDescent="0.15">
      <c r="I95" s="216"/>
    </row>
  </sheetData>
  <mergeCells count="112">
    <mergeCell ref="A76:A78"/>
    <mergeCell ref="B76:C76"/>
    <mergeCell ref="B77:C77"/>
    <mergeCell ref="B78:C78"/>
    <mergeCell ref="A79:A93"/>
    <mergeCell ref="B93:C93"/>
    <mergeCell ref="A70:A72"/>
    <mergeCell ref="B70:C70"/>
    <mergeCell ref="B71:C71"/>
    <mergeCell ref="B72:C72"/>
    <mergeCell ref="A73:A75"/>
    <mergeCell ref="B73:C73"/>
    <mergeCell ref="B74:C74"/>
    <mergeCell ref="B75:C75"/>
    <mergeCell ref="A64:A66"/>
    <mergeCell ref="B64:C64"/>
    <mergeCell ref="B65:C65"/>
    <mergeCell ref="B66:C66"/>
    <mergeCell ref="A67:A69"/>
    <mergeCell ref="B67:C67"/>
    <mergeCell ref="B68:C68"/>
    <mergeCell ref="B69:C69"/>
    <mergeCell ref="A58:A60"/>
    <mergeCell ref="B58:C58"/>
    <mergeCell ref="B59:C59"/>
    <mergeCell ref="B60:C60"/>
    <mergeCell ref="A61:A63"/>
    <mergeCell ref="B61:C61"/>
    <mergeCell ref="B62:C62"/>
    <mergeCell ref="B63:C63"/>
    <mergeCell ref="A52:A54"/>
    <mergeCell ref="B52:C52"/>
    <mergeCell ref="B53:C53"/>
    <mergeCell ref="B54:C54"/>
    <mergeCell ref="A55:A57"/>
    <mergeCell ref="B55:C55"/>
    <mergeCell ref="B56:C56"/>
    <mergeCell ref="B57:C57"/>
    <mergeCell ref="A46:A48"/>
    <mergeCell ref="B46:C46"/>
    <mergeCell ref="B47:C47"/>
    <mergeCell ref="B48:C48"/>
    <mergeCell ref="A49:A51"/>
    <mergeCell ref="B49:C49"/>
    <mergeCell ref="B50:C50"/>
    <mergeCell ref="B51:C51"/>
    <mergeCell ref="A40:A42"/>
    <mergeCell ref="B40:C40"/>
    <mergeCell ref="B41:C41"/>
    <mergeCell ref="B42:C42"/>
    <mergeCell ref="A43:A45"/>
    <mergeCell ref="B43:C43"/>
    <mergeCell ref="B44:C44"/>
    <mergeCell ref="B45:C45"/>
    <mergeCell ref="A34:A36"/>
    <mergeCell ref="B34:C34"/>
    <mergeCell ref="B35:C35"/>
    <mergeCell ref="B36:C36"/>
    <mergeCell ref="A37:A39"/>
    <mergeCell ref="B37:C37"/>
    <mergeCell ref="B38:C38"/>
    <mergeCell ref="B39:C39"/>
    <mergeCell ref="A28:A30"/>
    <mergeCell ref="B28:C28"/>
    <mergeCell ref="B29:C29"/>
    <mergeCell ref="B30:C30"/>
    <mergeCell ref="A31:A33"/>
    <mergeCell ref="B31:C31"/>
    <mergeCell ref="B32:C32"/>
    <mergeCell ref="B33:C33"/>
    <mergeCell ref="A22:A24"/>
    <mergeCell ref="B22:C22"/>
    <mergeCell ref="B23:C23"/>
    <mergeCell ref="B24:C24"/>
    <mergeCell ref="A25:A27"/>
    <mergeCell ref="B25:C25"/>
    <mergeCell ref="B26:C26"/>
    <mergeCell ref="B27:C27"/>
    <mergeCell ref="A16:A18"/>
    <mergeCell ref="B16:C16"/>
    <mergeCell ref="B17:C17"/>
    <mergeCell ref="B18:C18"/>
    <mergeCell ref="A19:A21"/>
    <mergeCell ref="B19:C19"/>
    <mergeCell ref="B20:C20"/>
    <mergeCell ref="B21:C21"/>
    <mergeCell ref="A10:A12"/>
    <mergeCell ref="B10:C10"/>
    <mergeCell ref="B11:C11"/>
    <mergeCell ref="B12:C12"/>
    <mergeCell ref="A13:A15"/>
    <mergeCell ref="B13:C13"/>
    <mergeCell ref="B14:C14"/>
    <mergeCell ref="B15:C15"/>
    <mergeCell ref="I5:I6"/>
    <mergeCell ref="J5:J6"/>
    <mergeCell ref="K5:K6"/>
    <mergeCell ref="N5:N6"/>
    <mergeCell ref="A7:A9"/>
    <mergeCell ref="B7:C7"/>
    <mergeCell ref="B8:C8"/>
    <mergeCell ref="B9:C9"/>
    <mergeCell ref="A4:A6"/>
    <mergeCell ref="B4:C6"/>
    <mergeCell ref="D4:E4"/>
    <mergeCell ref="F4:G4"/>
    <mergeCell ref="I4:J4"/>
    <mergeCell ref="L4:O4"/>
    <mergeCell ref="D5:D6"/>
    <mergeCell ref="E5:E6"/>
    <mergeCell ref="F5:F6"/>
    <mergeCell ref="G5:G6"/>
  </mergeCells>
  <phoneticPr fontId="4"/>
  <printOptions horizontalCentered="1"/>
  <pageMargins left="0.23622047244094491" right="0.23622047244094491" top="0.39370078740157483" bottom="0.59055118110236227" header="0.31496062992125984" footer="0.31496062992125984"/>
  <pageSetup paperSize="9" scale="70" orientation="landscape" r:id="rId1"/>
  <headerFooter scaleWithDoc="0"/>
  <colBreaks count="1" manualBreakCount="1">
    <brk id="8" max="9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7BC65-0A8B-45CD-AB5C-1E15F6EAE6A9}">
  <sheetPr>
    <pageSetUpPr autoPageBreaks="0"/>
  </sheetPr>
  <dimension ref="A1:F117"/>
  <sheetViews>
    <sheetView showGridLines="0" view="pageBreakPreview" zoomScaleNormal="100" zoomScaleSheetLayoutView="100" workbookViewId="0">
      <pane xSplit="2" ySplit="64" topLeftCell="C85" activePane="bottomRight" state="frozen"/>
      <selection pane="topRight" activeCell="C1" sqref="C1"/>
      <selection pane="bottomLeft" activeCell="A65" sqref="A65"/>
      <selection pane="bottomRight"/>
    </sheetView>
  </sheetViews>
  <sheetFormatPr defaultColWidth="13.5" defaultRowHeight="18.75" customHeight="1" x14ac:dyDescent="0.15"/>
  <cols>
    <col min="1" max="1" width="17.625" style="219" customWidth="1"/>
    <col min="2" max="4" width="13.5" style="219" customWidth="1"/>
    <col min="5" max="6" width="11.625" style="219" customWidth="1"/>
    <col min="7" max="256" width="13.5" style="219"/>
    <col min="257" max="257" width="17.625" style="219" customWidth="1"/>
    <col min="258" max="260" width="13.5" style="219"/>
    <col min="261" max="262" width="11.625" style="219" customWidth="1"/>
    <col min="263" max="512" width="13.5" style="219"/>
    <col min="513" max="513" width="17.625" style="219" customWidth="1"/>
    <col min="514" max="516" width="13.5" style="219"/>
    <col min="517" max="518" width="11.625" style="219" customWidth="1"/>
    <col min="519" max="768" width="13.5" style="219"/>
    <col min="769" max="769" width="17.625" style="219" customWidth="1"/>
    <col min="770" max="772" width="13.5" style="219"/>
    <col min="773" max="774" width="11.625" style="219" customWidth="1"/>
    <col min="775" max="1024" width="13.5" style="219"/>
    <col min="1025" max="1025" width="17.625" style="219" customWidth="1"/>
    <col min="1026" max="1028" width="13.5" style="219"/>
    <col min="1029" max="1030" width="11.625" style="219" customWidth="1"/>
    <col min="1031" max="1280" width="13.5" style="219"/>
    <col min="1281" max="1281" width="17.625" style="219" customWidth="1"/>
    <col min="1282" max="1284" width="13.5" style="219"/>
    <col min="1285" max="1286" width="11.625" style="219" customWidth="1"/>
    <col min="1287" max="1536" width="13.5" style="219"/>
    <col min="1537" max="1537" width="17.625" style="219" customWidth="1"/>
    <col min="1538" max="1540" width="13.5" style="219"/>
    <col min="1541" max="1542" width="11.625" style="219" customWidth="1"/>
    <col min="1543" max="1792" width="13.5" style="219"/>
    <col min="1793" max="1793" width="17.625" style="219" customWidth="1"/>
    <col min="1794" max="1796" width="13.5" style="219"/>
    <col min="1797" max="1798" width="11.625" style="219" customWidth="1"/>
    <col min="1799" max="2048" width="13.5" style="219"/>
    <col min="2049" max="2049" width="17.625" style="219" customWidth="1"/>
    <col min="2050" max="2052" width="13.5" style="219"/>
    <col min="2053" max="2054" width="11.625" style="219" customWidth="1"/>
    <col min="2055" max="2304" width="13.5" style="219"/>
    <col min="2305" max="2305" width="17.625" style="219" customWidth="1"/>
    <col min="2306" max="2308" width="13.5" style="219"/>
    <col min="2309" max="2310" width="11.625" style="219" customWidth="1"/>
    <col min="2311" max="2560" width="13.5" style="219"/>
    <col min="2561" max="2561" width="17.625" style="219" customWidth="1"/>
    <col min="2562" max="2564" width="13.5" style="219"/>
    <col min="2565" max="2566" width="11.625" style="219" customWidth="1"/>
    <col min="2567" max="2816" width="13.5" style="219"/>
    <col min="2817" max="2817" width="17.625" style="219" customWidth="1"/>
    <col min="2818" max="2820" width="13.5" style="219"/>
    <col min="2821" max="2822" width="11.625" style="219" customWidth="1"/>
    <col min="2823" max="3072" width="13.5" style="219"/>
    <col min="3073" max="3073" width="17.625" style="219" customWidth="1"/>
    <col min="3074" max="3076" width="13.5" style="219"/>
    <col min="3077" max="3078" width="11.625" style="219" customWidth="1"/>
    <col min="3079" max="3328" width="13.5" style="219"/>
    <col min="3329" max="3329" width="17.625" style="219" customWidth="1"/>
    <col min="3330" max="3332" width="13.5" style="219"/>
    <col min="3333" max="3334" width="11.625" style="219" customWidth="1"/>
    <col min="3335" max="3584" width="13.5" style="219"/>
    <col min="3585" max="3585" width="17.625" style="219" customWidth="1"/>
    <col min="3586" max="3588" width="13.5" style="219"/>
    <col min="3589" max="3590" width="11.625" style="219" customWidth="1"/>
    <col min="3591" max="3840" width="13.5" style="219"/>
    <col min="3841" max="3841" width="17.625" style="219" customWidth="1"/>
    <col min="3842" max="3844" width="13.5" style="219"/>
    <col min="3845" max="3846" width="11.625" style="219" customWidth="1"/>
    <col min="3847" max="4096" width="13.5" style="219"/>
    <col min="4097" max="4097" width="17.625" style="219" customWidth="1"/>
    <col min="4098" max="4100" width="13.5" style="219"/>
    <col min="4101" max="4102" width="11.625" style="219" customWidth="1"/>
    <col min="4103" max="4352" width="13.5" style="219"/>
    <col min="4353" max="4353" width="17.625" style="219" customWidth="1"/>
    <col min="4354" max="4356" width="13.5" style="219"/>
    <col min="4357" max="4358" width="11.625" style="219" customWidth="1"/>
    <col min="4359" max="4608" width="13.5" style="219"/>
    <col min="4609" max="4609" width="17.625" style="219" customWidth="1"/>
    <col min="4610" max="4612" width="13.5" style="219"/>
    <col min="4613" max="4614" width="11.625" style="219" customWidth="1"/>
    <col min="4615" max="4864" width="13.5" style="219"/>
    <col min="4865" max="4865" width="17.625" style="219" customWidth="1"/>
    <col min="4866" max="4868" width="13.5" style="219"/>
    <col min="4869" max="4870" width="11.625" style="219" customWidth="1"/>
    <col min="4871" max="5120" width="13.5" style="219"/>
    <col min="5121" max="5121" width="17.625" style="219" customWidth="1"/>
    <col min="5122" max="5124" width="13.5" style="219"/>
    <col min="5125" max="5126" width="11.625" style="219" customWidth="1"/>
    <col min="5127" max="5376" width="13.5" style="219"/>
    <col min="5377" max="5377" width="17.625" style="219" customWidth="1"/>
    <col min="5378" max="5380" width="13.5" style="219"/>
    <col min="5381" max="5382" width="11.625" style="219" customWidth="1"/>
    <col min="5383" max="5632" width="13.5" style="219"/>
    <col min="5633" max="5633" width="17.625" style="219" customWidth="1"/>
    <col min="5634" max="5636" width="13.5" style="219"/>
    <col min="5637" max="5638" width="11.625" style="219" customWidth="1"/>
    <col min="5639" max="5888" width="13.5" style="219"/>
    <col min="5889" max="5889" width="17.625" style="219" customWidth="1"/>
    <col min="5890" max="5892" width="13.5" style="219"/>
    <col min="5893" max="5894" width="11.625" style="219" customWidth="1"/>
    <col min="5895" max="6144" width="13.5" style="219"/>
    <col min="6145" max="6145" width="17.625" style="219" customWidth="1"/>
    <col min="6146" max="6148" width="13.5" style="219"/>
    <col min="6149" max="6150" width="11.625" style="219" customWidth="1"/>
    <col min="6151" max="6400" width="13.5" style="219"/>
    <col min="6401" max="6401" width="17.625" style="219" customWidth="1"/>
    <col min="6402" max="6404" width="13.5" style="219"/>
    <col min="6405" max="6406" width="11.625" style="219" customWidth="1"/>
    <col min="6407" max="6656" width="13.5" style="219"/>
    <col min="6657" max="6657" width="17.625" style="219" customWidth="1"/>
    <col min="6658" max="6660" width="13.5" style="219"/>
    <col min="6661" max="6662" width="11.625" style="219" customWidth="1"/>
    <col min="6663" max="6912" width="13.5" style="219"/>
    <col min="6913" max="6913" width="17.625" style="219" customWidth="1"/>
    <col min="6914" max="6916" width="13.5" style="219"/>
    <col min="6917" max="6918" width="11.625" style="219" customWidth="1"/>
    <col min="6919" max="7168" width="13.5" style="219"/>
    <col min="7169" max="7169" width="17.625" style="219" customWidth="1"/>
    <col min="7170" max="7172" width="13.5" style="219"/>
    <col min="7173" max="7174" width="11.625" style="219" customWidth="1"/>
    <col min="7175" max="7424" width="13.5" style="219"/>
    <col min="7425" max="7425" width="17.625" style="219" customWidth="1"/>
    <col min="7426" max="7428" width="13.5" style="219"/>
    <col min="7429" max="7430" width="11.625" style="219" customWidth="1"/>
    <col min="7431" max="7680" width="13.5" style="219"/>
    <col min="7681" max="7681" width="17.625" style="219" customWidth="1"/>
    <col min="7682" max="7684" width="13.5" style="219"/>
    <col min="7685" max="7686" width="11.625" style="219" customWidth="1"/>
    <col min="7687" max="7936" width="13.5" style="219"/>
    <col min="7937" max="7937" width="17.625" style="219" customWidth="1"/>
    <col min="7938" max="7940" width="13.5" style="219"/>
    <col min="7941" max="7942" width="11.625" style="219" customWidth="1"/>
    <col min="7943" max="8192" width="13.5" style="219"/>
    <col min="8193" max="8193" width="17.625" style="219" customWidth="1"/>
    <col min="8194" max="8196" width="13.5" style="219"/>
    <col min="8197" max="8198" width="11.625" style="219" customWidth="1"/>
    <col min="8199" max="8448" width="13.5" style="219"/>
    <col min="8449" max="8449" width="17.625" style="219" customWidth="1"/>
    <col min="8450" max="8452" width="13.5" style="219"/>
    <col min="8453" max="8454" width="11.625" style="219" customWidth="1"/>
    <col min="8455" max="8704" width="13.5" style="219"/>
    <col min="8705" max="8705" width="17.625" style="219" customWidth="1"/>
    <col min="8706" max="8708" width="13.5" style="219"/>
    <col min="8709" max="8710" width="11.625" style="219" customWidth="1"/>
    <col min="8711" max="8960" width="13.5" style="219"/>
    <col min="8961" max="8961" width="17.625" style="219" customWidth="1"/>
    <col min="8962" max="8964" width="13.5" style="219"/>
    <col min="8965" max="8966" width="11.625" style="219" customWidth="1"/>
    <col min="8967" max="9216" width="13.5" style="219"/>
    <col min="9217" max="9217" width="17.625" style="219" customWidth="1"/>
    <col min="9218" max="9220" width="13.5" style="219"/>
    <col min="9221" max="9222" width="11.625" style="219" customWidth="1"/>
    <col min="9223" max="9472" width="13.5" style="219"/>
    <col min="9473" max="9473" width="17.625" style="219" customWidth="1"/>
    <col min="9474" max="9476" width="13.5" style="219"/>
    <col min="9477" max="9478" width="11.625" style="219" customWidth="1"/>
    <col min="9479" max="9728" width="13.5" style="219"/>
    <col min="9729" max="9729" width="17.625" style="219" customWidth="1"/>
    <col min="9730" max="9732" width="13.5" style="219"/>
    <col min="9733" max="9734" width="11.625" style="219" customWidth="1"/>
    <col min="9735" max="9984" width="13.5" style="219"/>
    <col min="9985" max="9985" width="17.625" style="219" customWidth="1"/>
    <col min="9986" max="9988" width="13.5" style="219"/>
    <col min="9989" max="9990" width="11.625" style="219" customWidth="1"/>
    <col min="9991" max="10240" width="13.5" style="219"/>
    <col min="10241" max="10241" width="17.625" style="219" customWidth="1"/>
    <col min="10242" max="10244" width="13.5" style="219"/>
    <col min="10245" max="10246" width="11.625" style="219" customWidth="1"/>
    <col min="10247" max="10496" width="13.5" style="219"/>
    <col min="10497" max="10497" width="17.625" style="219" customWidth="1"/>
    <col min="10498" max="10500" width="13.5" style="219"/>
    <col min="10501" max="10502" width="11.625" style="219" customWidth="1"/>
    <col min="10503" max="10752" width="13.5" style="219"/>
    <col min="10753" max="10753" width="17.625" style="219" customWidth="1"/>
    <col min="10754" max="10756" width="13.5" style="219"/>
    <col min="10757" max="10758" width="11.625" style="219" customWidth="1"/>
    <col min="10759" max="11008" width="13.5" style="219"/>
    <col min="11009" max="11009" width="17.625" style="219" customWidth="1"/>
    <col min="11010" max="11012" width="13.5" style="219"/>
    <col min="11013" max="11014" width="11.625" style="219" customWidth="1"/>
    <col min="11015" max="11264" width="13.5" style="219"/>
    <col min="11265" max="11265" width="17.625" style="219" customWidth="1"/>
    <col min="11266" max="11268" width="13.5" style="219"/>
    <col min="11269" max="11270" width="11.625" style="219" customWidth="1"/>
    <col min="11271" max="11520" width="13.5" style="219"/>
    <col min="11521" max="11521" width="17.625" style="219" customWidth="1"/>
    <col min="11522" max="11524" width="13.5" style="219"/>
    <col min="11525" max="11526" width="11.625" style="219" customWidth="1"/>
    <col min="11527" max="11776" width="13.5" style="219"/>
    <col min="11777" max="11777" width="17.625" style="219" customWidth="1"/>
    <col min="11778" max="11780" width="13.5" style="219"/>
    <col min="11781" max="11782" width="11.625" style="219" customWidth="1"/>
    <col min="11783" max="12032" width="13.5" style="219"/>
    <col min="12033" max="12033" width="17.625" style="219" customWidth="1"/>
    <col min="12034" max="12036" width="13.5" style="219"/>
    <col min="12037" max="12038" width="11.625" style="219" customWidth="1"/>
    <col min="12039" max="12288" width="13.5" style="219"/>
    <col min="12289" max="12289" width="17.625" style="219" customWidth="1"/>
    <col min="12290" max="12292" width="13.5" style="219"/>
    <col min="12293" max="12294" width="11.625" style="219" customWidth="1"/>
    <col min="12295" max="12544" width="13.5" style="219"/>
    <col min="12545" max="12545" width="17.625" style="219" customWidth="1"/>
    <col min="12546" max="12548" width="13.5" style="219"/>
    <col min="12549" max="12550" width="11.625" style="219" customWidth="1"/>
    <col min="12551" max="12800" width="13.5" style="219"/>
    <col min="12801" max="12801" width="17.625" style="219" customWidth="1"/>
    <col min="12802" max="12804" width="13.5" style="219"/>
    <col min="12805" max="12806" width="11.625" style="219" customWidth="1"/>
    <col min="12807" max="13056" width="13.5" style="219"/>
    <col min="13057" max="13057" width="17.625" style="219" customWidth="1"/>
    <col min="13058" max="13060" width="13.5" style="219"/>
    <col min="13061" max="13062" width="11.625" style="219" customWidth="1"/>
    <col min="13063" max="13312" width="13.5" style="219"/>
    <col min="13313" max="13313" width="17.625" style="219" customWidth="1"/>
    <col min="13314" max="13316" width="13.5" style="219"/>
    <col min="13317" max="13318" width="11.625" style="219" customWidth="1"/>
    <col min="13319" max="13568" width="13.5" style="219"/>
    <col min="13569" max="13569" width="17.625" style="219" customWidth="1"/>
    <col min="13570" max="13572" width="13.5" style="219"/>
    <col min="13573" max="13574" width="11.625" style="219" customWidth="1"/>
    <col min="13575" max="13824" width="13.5" style="219"/>
    <col min="13825" max="13825" width="17.625" style="219" customWidth="1"/>
    <col min="13826" max="13828" width="13.5" style="219"/>
    <col min="13829" max="13830" width="11.625" style="219" customWidth="1"/>
    <col min="13831" max="14080" width="13.5" style="219"/>
    <col min="14081" max="14081" width="17.625" style="219" customWidth="1"/>
    <col min="14082" max="14084" width="13.5" style="219"/>
    <col min="14085" max="14086" width="11.625" style="219" customWidth="1"/>
    <col min="14087" max="14336" width="13.5" style="219"/>
    <col min="14337" max="14337" width="17.625" style="219" customWidth="1"/>
    <col min="14338" max="14340" width="13.5" style="219"/>
    <col min="14341" max="14342" width="11.625" style="219" customWidth="1"/>
    <col min="14343" max="14592" width="13.5" style="219"/>
    <col min="14593" max="14593" width="17.625" style="219" customWidth="1"/>
    <col min="14594" max="14596" width="13.5" style="219"/>
    <col min="14597" max="14598" width="11.625" style="219" customWidth="1"/>
    <col min="14599" max="14848" width="13.5" style="219"/>
    <col min="14849" max="14849" width="17.625" style="219" customWidth="1"/>
    <col min="14850" max="14852" width="13.5" style="219"/>
    <col min="14853" max="14854" width="11.625" style="219" customWidth="1"/>
    <col min="14855" max="15104" width="13.5" style="219"/>
    <col min="15105" max="15105" width="17.625" style="219" customWidth="1"/>
    <col min="15106" max="15108" width="13.5" style="219"/>
    <col min="15109" max="15110" width="11.625" style="219" customWidth="1"/>
    <col min="15111" max="15360" width="13.5" style="219"/>
    <col min="15361" max="15361" width="17.625" style="219" customWidth="1"/>
    <col min="15362" max="15364" width="13.5" style="219"/>
    <col min="15365" max="15366" width="11.625" style="219" customWidth="1"/>
    <col min="15367" max="15616" width="13.5" style="219"/>
    <col min="15617" max="15617" width="17.625" style="219" customWidth="1"/>
    <col min="15618" max="15620" width="13.5" style="219"/>
    <col min="15621" max="15622" width="11.625" style="219" customWidth="1"/>
    <col min="15623" max="15872" width="13.5" style="219"/>
    <col min="15873" max="15873" width="17.625" style="219" customWidth="1"/>
    <col min="15874" max="15876" width="13.5" style="219"/>
    <col min="15877" max="15878" width="11.625" style="219" customWidth="1"/>
    <col min="15879" max="16128" width="13.5" style="219"/>
    <col min="16129" max="16129" width="17.625" style="219" customWidth="1"/>
    <col min="16130" max="16132" width="13.5" style="219"/>
    <col min="16133" max="16134" width="11.625" style="219" customWidth="1"/>
    <col min="16135" max="16384" width="13.5" style="219"/>
  </cols>
  <sheetData>
    <row r="1" spans="1:6" ht="27" customHeight="1" x14ac:dyDescent="0.2">
      <c r="A1" s="217" t="s">
        <v>154</v>
      </c>
      <c r="B1" s="218"/>
      <c r="C1" s="218"/>
      <c r="D1" s="218"/>
      <c r="E1" s="218"/>
      <c r="F1" s="218"/>
    </row>
    <row r="2" spans="1:6" ht="27" customHeight="1" thickBot="1" x14ac:dyDescent="0.2">
      <c r="A2" s="220"/>
      <c r="B2" s="218"/>
      <c r="C2" s="218"/>
      <c r="D2" s="218"/>
      <c r="E2" s="218"/>
      <c r="F2" s="221" t="s">
        <v>155</v>
      </c>
    </row>
    <row r="3" spans="1:6" ht="18.75" customHeight="1" x14ac:dyDescent="0.15">
      <c r="A3" s="766" t="s">
        <v>62</v>
      </c>
      <c r="B3" s="767" t="s">
        <v>3</v>
      </c>
      <c r="C3" s="767" t="s">
        <v>156</v>
      </c>
      <c r="D3" s="767" t="s">
        <v>77</v>
      </c>
      <c r="E3" s="767" t="s">
        <v>69</v>
      </c>
      <c r="F3" s="769"/>
    </row>
    <row r="4" spans="1:6" ht="18" customHeight="1" x14ac:dyDescent="0.15">
      <c r="A4" s="765"/>
      <c r="B4" s="768"/>
      <c r="C4" s="768"/>
      <c r="D4" s="768"/>
      <c r="E4" s="222" t="s">
        <v>156</v>
      </c>
      <c r="F4" s="223" t="s">
        <v>77</v>
      </c>
    </row>
    <row r="5" spans="1:6" ht="18.75" hidden="1" customHeight="1" x14ac:dyDescent="0.15">
      <c r="A5" s="765" t="s">
        <v>81</v>
      </c>
      <c r="B5" s="224" t="s">
        <v>157</v>
      </c>
      <c r="C5" s="225">
        <v>140905799</v>
      </c>
      <c r="D5" s="225">
        <v>139904905</v>
      </c>
      <c r="E5" s="226">
        <v>99.5</v>
      </c>
      <c r="F5" s="227">
        <v>99.7</v>
      </c>
    </row>
    <row r="6" spans="1:6" ht="18.75" hidden="1" customHeight="1" x14ac:dyDescent="0.15">
      <c r="A6" s="765"/>
      <c r="B6" s="228" t="s">
        <v>158</v>
      </c>
      <c r="C6" s="229">
        <v>78553414</v>
      </c>
      <c r="D6" s="229">
        <v>70619530</v>
      </c>
      <c r="E6" s="230">
        <v>98.5</v>
      </c>
      <c r="F6" s="231">
        <v>99.8</v>
      </c>
    </row>
    <row r="7" spans="1:6" ht="18.75" hidden="1" customHeight="1" x14ac:dyDescent="0.15">
      <c r="A7" s="765"/>
      <c r="B7" s="232" t="s">
        <v>159</v>
      </c>
      <c r="C7" s="233">
        <v>6226733</v>
      </c>
      <c r="D7" s="233">
        <v>3467282</v>
      </c>
      <c r="E7" s="234">
        <v>99.2</v>
      </c>
      <c r="F7" s="235">
        <v>101.1</v>
      </c>
    </row>
    <row r="8" spans="1:6" ht="19.5" hidden="1" customHeight="1" x14ac:dyDescent="0.15">
      <c r="A8" s="765"/>
      <c r="B8" s="222" t="s">
        <v>29</v>
      </c>
      <c r="C8" s="236">
        <f>SUM(C5:C7)</f>
        <v>225685946</v>
      </c>
      <c r="D8" s="236">
        <f>SUM(D5:D7)</f>
        <v>213991717</v>
      </c>
      <c r="E8" s="237">
        <v>99.2</v>
      </c>
      <c r="F8" s="238">
        <v>99.7</v>
      </c>
    </row>
    <row r="9" spans="1:6" ht="21" hidden="1" customHeight="1" x14ac:dyDescent="0.15">
      <c r="A9" s="765" t="s">
        <v>84</v>
      </c>
      <c r="B9" s="224" t="s">
        <v>157</v>
      </c>
      <c r="C9" s="225">
        <v>137502250</v>
      </c>
      <c r="D9" s="225">
        <v>136538750</v>
      </c>
      <c r="E9" s="226">
        <f t="shared" ref="E9:F24" si="0">ROUND((C9/C5)*100,1)</f>
        <v>97.6</v>
      </c>
      <c r="F9" s="227">
        <f t="shared" si="0"/>
        <v>97.6</v>
      </c>
    </row>
    <row r="10" spans="1:6" ht="18.75" hidden="1" customHeight="1" x14ac:dyDescent="0.15">
      <c r="A10" s="765"/>
      <c r="B10" s="228" t="s">
        <v>158</v>
      </c>
      <c r="C10" s="229">
        <v>77299823</v>
      </c>
      <c r="D10" s="229">
        <v>70330795</v>
      </c>
      <c r="E10" s="230">
        <f t="shared" si="0"/>
        <v>98.4</v>
      </c>
      <c r="F10" s="231">
        <f t="shared" si="0"/>
        <v>99.6</v>
      </c>
    </row>
    <row r="11" spans="1:6" ht="18.75" hidden="1" customHeight="1" x14ac:dyDescent="0.15">
      <c r="A11" s="765"/>
      <c r="B11" s="232" t="s">
        <v>159</v>
      </c>
      <c r="C11" s="233">
        <v>6216463</v>
      </c>
      <c r="D11" s="233">
        <v>3594469</v>
      </c>
      <c r="E11" s="234">
        <f t="shared" si="0"/>
        <v>99.8</v>
      </c>
      <c r="F11" s="235">
        <f t="shared" si="0"/>
        <v>103.7</v>
      </c>
    </row>
    <row r="12" spans="1:6" ht="18.75" hidden="1" customHeight="1" x14ac:dyDescent="0.15">
      <c r="A12" s="765"/>
      <c r="B12" s="222" t="s">
        <v>29</v>
      </c>
      <c r="C12" s="236">
        <f>SUM(C9:C11)</f>
        <v>221018536</v>
      </c>
      <c r="D12" s="236">
        <f>SUM(D9:D11)</f>
        <v>210464014</v>
      </c>
      <c r="E12" s="237">
        <f t="shared" si="0"/>
        <v>97.9</v>
      </c>
      <c r="F12" s="238">
        <f t="shared" si="0"/>
        <v>98.4</v>
      </c>
    </row>
    <row r="13" spans="1:6" ht="18.75" hidden="1" customHeight="1" x14ac:dyDescent="0.15">
      <c r="A13" s="765" t="s">
        <v>85</v>
      </c>
      <c r="B13" s="224" t="s">
        <v>157</v>
      </c>
      <c r="C13" s="225">
        <v>135137917</v>
      </c>
      <c r="D13" s="225">
        <v>134128204</v>
      </c>
      <c r="E13" s="226">
        <f t="shared" si="0"/>
        <v>98.3</v>
      </c>
      <c r="F13" s="227">
        <f t="shared" si="0"/>
        <v>98.2</v>
      </c>
    </row>
    <row r="14" spans="1:6" ht="18.75" hidden="1" customHeight="1" x14ac:dyDescent="0.15">
      <c r="A14" s="765"/>
      <c r="B14" s="228" t="s">
        <v>158</v>
      </c>
      <c r="C14" s="229">
        <v>77408173</v>
      </c>
      <c r="D14" s="229">
        <v>71101578</v>
      </c>
      <c r="E14" s="230">
        <f t="shared" si="0"/>
        <v>100.1</v>
      </c>
      <c r="F14" s="231">
        <f t="shared" si="0"/>
        <v>101.1</v>
      </c>
    </row>
    <row r="15" spans="1:6" ht="18.75" hidden="1" customHeight="1" x14ac:dyDescent="0.15">
      <c r="A15" s="765"/>
      <c r="B15" s="232" t="s">
        <v>159</v>
      </c>
      <c r="C15" s="233">
        <v>6120859</v>
      </c>
      <c r="D15" s="233">
        <v>3648435</v>
      </c>
      <c r="E15" s="234">
        <f t="shared" si="0"/>
        <v>98.5</v>
      </c>
      <c r="F15" s="235">
        <f t="shared" si="0"/>
        <v>101.5</v>
      </c>
    </row>
    <row r="16" spans="1:6" ht="18.75" hidden="1" customHeight="1" x14ac:dyDescent="0.15">
      <c r="A16" s="765"/>
      <c r="B16" s="222" t="s">
        <v>29</v>
      </c>
      <c r="C16" s="236">
        <f>SUM(C13:C15)</f>
        <v>218666949</v>
      </c>
      <c r="D16" s="236">
        <f>SUM(D13:D15)</f>
        <v>208878217</v>
      </c>
      <c r="E16" s="237">
        <f t="shared" si="0"/>
        <v>98.9</v>
      </c>
      <c r="F16" s="238">
        <f t="shared" si="0"/>
        <v>99.2</v>
      </c>
    </row>
    <row r="17" spans="1:6" ht="18.75" hidden="1" customHeight="1" x14ac:dyDescent="0.15">
      <c r="A17" s="765" t="s">
        <v>86</v>
      </c>
      <c r="B17" s="224" t="s">
        <v>160</v>
      </c>
      <c r="C17" s="225">
        <v>131453440</v>
      </c>
      <c r="D17" s="225">
        <v>130559973</v>
      </c>
      <c r="E17" s="226">
        <f t="shared" si="0"/>
        <v>97.3</v>
      </c>
      <c r="F17" s="227">
        <f t="shared" si="0"/>
        <v>97.3</v>
      </c>
    </row>
    <row r="18" spans="1:6" ht="18.75" hidden="1" customHeight="1" x14ac:dyDescent="0.15">
      <c r="A18" s="765"/>
      <c r="B18" s="228" t="s">
        <v>161</v>
      </c>
      <c r="C18" s="229">
        <v>75425876</v>
      </c>
      <c r="D18" s="229">
        <v>71251511</v>
      </c>
      <c r="E18" s="230">
        <f t="shared" si="0"/>
        <v>97.4</v>
      </c>
      <c r="F18" s="231">
        <f t="shared" si="0"/>
        <v>100.2</v>
      </c>
    </row>
    <row r="19" spans="1:6" ht="18.75" hidden="1" customHeight="1" x14ac:dyDescent="0.15">
      <c r="A19" s="765"/>
      <c r="B19" s="232" t="s">
        <v>162</v>
      </c>
      <c r="C19" s="233">
        <v>6053219</v>
      </c>
      <c r="D19" s="233">
        <v>3720863</v>
      </c>
      <c r="E19" s="234">
        <f t="shared" si="0"/>
        <v>98.9</v>
      </c>
      <c r="F19" s="235">
        <f t="shared" si="0"/>
        <v>102</v>
      </c>
    </row>
    <row r="20" spans="1:6" ht="18.75" hidden="1" customHeight="1" x14ac:dyDescent="0.15">
      <c r="A20" s="771"/>
      <c r="B20" s="222" t="s">
        <v>93</v>
      </c>
      <c r="C20" s="236">
        <f>SUM(C17:C19)</f>
        <v>212932535</v>
      </c>
      <c r="D20" s="236">
        <f>SUM(D17:D19)</f>
        <v>205532347</v>
      </c>
      <c r="E20" s="237">
        <f t="shared" si="0"/>
        <v>97.4</v>
      </c>
      <c r="F20" s="238">
        <f t="shared" si="0"/>
        <v>98.4</v>
      </c>
    </row>
    <row r="21" spans="1:6" ht="18.75" hidden="1" customHeight="1" x14ac:dyDescent="0.15">
      <c r="A21" s="772" t="s">
        <v>87</v>
      </c>
      <c r="B21" s="224" t="s">
        <v>160</v>
      </c>
      <c r="C21" s="225">
        <v>130131048</v>
      </c>
      <c r="D21" s="225">
        <v>129319407</v>
      </c>
      <c r="E21" s="226">
        <f>ROUND((C21/C17)*100,1)</f>
        <v>99</v>
      </c>
      <c r="F21" s="227">
        <f t="shared" si="0"/>
        <v>99</v>
      </c>
    </row>
    <row r="22" spans="1:6" ht="18.75" hidden="1" customHeight="1" x14ac:dyDescent="0.15">
      <c r="A22" s="773"/>
      <c r="B22" s="228" t="s">
        <v>161</v>
      </c>
      <c r="C22" s="229">
        <v>71607998</v>
      </c>
      <c r="D22" s="229">
        <v>68756055</v>
      </c>
      <c r="E22" s="230">
        <f t="shared" si="0"/>
        <v>94.9</v>
      </c>
      <c r="F22" s="231">
        <f t="shared" si="0"/>
        <v>96.5</v>
      </c>
    </row>
    <row r="23" spans="1:6" ht="18.75" hidden="1" customHeight="1" x14ac:dyDescent="0.15">
      <c r="A23" s="773"/>
      <c r="B23" s="232" t="s">
        <v>162</v>
      </c>
      <c r="C23" s="233">
        <v>5940397</v>
      </c>
      <c r="D23" s="233">
        <v>3707121</v>
      </c>
      <c r="E23" s="234">
        <f t="shared" si="0"/>
        <v>98.1</v>
      </c>
      <c r="F23" s="235">
        <f t="shared" si="0"/>
        <v>99.6</v>
      </c>
    </row>
    <row r="24" spans="1:6" ht="18.75" hidden="1" customHeight="1" x14ac:dyDescent="0.15">
      <c r="A24" s="774"/>
      <c r="B24" s="224" t="s">
        <v>93</v>
      </c>
      <c r="C24" s="225">
        <f>SUM(C21:C23)</f>
        <v>207679443</v>
      </c>
      <c r="D24" s="225">
        <f>SUM(D21:D23)</f>
        <v>201782583</v>
      </c>
      <c r="E24" s="226">
        <f t="shared" si="0"/>
        <v>97.5</v>
      </c>
      <c r="F24" s="227">
        <f t="shared" si="0"/>
        <v>98.2</v>
      </c>
    </row>
    <row r="25" spans="1:6" ht="18.75" hidden="1" customHeight="1" x14ac:dyDescent="0.15">
      <c r="A25" s="770" t="s">
        <v>4</v>
      </c>
      <c r="B25" s="224" t="s">
        <v>160</v>
      </c>
      <c r="C25" s="225">
        <v>126071227</v>
      </c>
      <c r="D25" s="225">
        <v>125391461</v>
      </c>
      <c r="E25" s="226">
        <f t="shared" ref="E25:F40" si="1">ROUND((C25/C21)*100,1)</f>
        <v>96.9</v>
      </c>
      <c r="F25" s="227">
        <f t="shared" si="1"/>
        <v>97</v>
      </c>
    </row>
    <row r="26" spans="1:6" ht="18.75" hidden="1" customHeight="1" x14ac:dyDescent="0.15">
      <c r="A26" s="770"/>
      <c r="B26" s="228" t="s">
        <v>161</v>
      </c>
      <c r="C26" s="229">
        <v>74276869</v>
      </c>
      <c r="D26" s="229">
        <v>70172693</v>
      </c>
      <c r="E26" s="230">
        <f t="shared" si="1"/>
        <v>103.7</v>
      </c>
      <c r="F26" s="231">
        <f t="shared" si="1"/>
        <v>102.1</v>
      </c>
    </row>
    <row r="27" spans="1:6" ht="18.75" hidden="1" customHeight="1" x14ac:dyDescent="0.15">
      <c r="A27" s="770"/>
      <c r="B27" s="232" t="s">
        <v>162</v>
      </c>
      <c r="C27" s="233">
        <v>12572</v>
      </c>
      <c r="D27" s="233">
        <v>12572</v>
      </c>
      <c r="E27" s="234">
        <f t="shared" si="1"/>
        <v>0.2</v>
      </c>
      <c r="F27" s="235">
        <f t="shared" si="1"/>
        <v>0.3</v>
      </c>
    </row>
    <row r="28" spans="1:6" ht="18.75" hidden="1" customHeight="1" x14ac:dyDescent="0.15">
      <c r="A28" s="770"/>
      <c r="B28" s="224" t="s">
        <v>93</v>
      </c>
      <c r="C28" s="236">
        <f>SUM(C25:C27)</f>
        <v>200360668</v>
      </c>
      <c r="D28" s="236">
        <f>SUM(D25:D27)</f>
        <v>195576726</v>
      </c>
      <c r="E28" s="226">
        <f t="shared" si="1"/>
        <v>96.5</v>
      </c>
      <c r="F28" s="238">
        <f t="shared" si="1"/>
        <v>96.9</v>
      </c>
    </row>
    <row r="29" spans="1:6" ht="18.75" hidden="1" customHeight="1" x14ac:dyDescent="0.15">
      <c r="A29" s="770" t="s">
        <v>88</v>
      </c>
      <c r="B29" s="224" t="s">
        <v>160</v>
      </c>
      <c r="C29" s="229">
        <v>124767434</v>
      </c>
      <c r="D29" s="229">
        <v>123338931</v>
      </c>
      <c r="E29" s="226">
        <f t="shared" si="1"/>
        <v>99</v>
      </c>
      <c r="F29" s="231">
        <f t="shared" si="1"/>
        <v>98.4</v>
      </c>
    </row>
    <row r="30" spans="1:6" ht="18.75" hidden="1" customHeight="1" x14ac:dyDescent="0.15">
      <c r="A30" s="770"/>
      <c r="B30" s="228" t="s">
        <v>161</v>
      </c>
      <c r="C30" s="229">
        <v>70185536</v>
      </c>
      <c r="D30" s="229">
        <v>66681406</v>
      </c>
      <c r="E30" s="230">
        <f t="shared" si="1"/>
        <v>94.5</v>
      </c>
      <c r="F30" s="231">
        <f t="shared" si="1"/>
        <v>95</v>
      </c>
    </row>
    <row r="31" spans="1:6" ht="18.75" hidden="1" customHeight="1" x14ac:dyDescent="0.15">
      <c r="A31" s="770"/>
      <c r="B31" s="232" t="s">
        <v>162</v>
      </c>
      <c r="C31" s="233">
        <v>11666</v>
      </c>
      <c r="D31" s="233">
        <v>11666</v>
      </c>
      <c r="E31" s="234">
        <f t="shared" si="1"/>
        <v>92.8</v>
      </c>
      <c r="F31" s="235">
        <f t="shared" si="1"/>
        <v>92.8</v>
      </c>
    </row>
    <row r="32" spans="1:6" ht="18.75" hidden="1" customHeight="1" x14ac:dyDescent="0.15">
      <c r="A32" s="770"/>
      <c r="B32" s="222" t="s">
        <v>93</v>
      </c>
      <c r="C32" s="236">
        <f>SUM(C29:C31)</f>
        <v>194964636</v>
      </c>
      <c r="D32" s="236">
        <f>SUM(D29:D31)</f>
        <v>190032003</v>
      </c>
      <c r="E32" s="237">
        <f t="shared" si="1"/>
        <v>97.3</v>
      </c>
      <c r="F32" s="238">
        <f t="shared" si="1"/>
        <v>97.2</v>
      </c>
    </row>
    <row r="33" spans="1:6" ht="18.75" hidden="1" customHeight="1" x14ac:dyDescent="0.15">
      <c r="A33" s="770" t="s">
        <v>6</v>
      </c>
      <c r="B33" s="224" t="s">
        <v>160</v>
      </c>
      <c r="C33" s="225">
        <v>131331896</v>
      </c>
      <c r="D33" s="225">
        <v>130061352</v>
      </c>
      <c r="E33" s="226">
        <f t="shared" si="1"/>
        <v>105.3</v>
      </c>
      <c r="F33" s="231">
        <f t="shared" si="1"/>
        <v>105.5</v>
      </c>
    </row>
    <row r="34" spans="1:6" ht="18.75" hidden="1" customHeight="1" x14ac:dyDescent="0.15">
      <c r="A34" s="770"/>
      <c r="B34" s="228" t="s">
        <v>161</v>
      </c>
      <c r="C34" s="229">
        <v>68858709</v>
      </c>
      <c r="D34" s="229">
        <v>65582734</v>
      </c>
      <c r="E34" s="230">
        <f t="shared" si="1"/>
        <v>98.1</v>
      </c>
      <c r="F34" s="231">
        <f t="shared" si="1"/>
        <v>98.4</v>
      </c>
    </row>
    <row r="35" spans="1:6" ht="18.75" hidden="1" customHeight="1" x14ac:dyDescent="0.15">
      <c r="A35" s="770"/>
      <c r="B35" s="232" t="s">
        <v>162</v>
      </c>
      <c r="C35" s="233">
        <v>12991</v>
      </c>
      <c r="D35" s="233">
        <v>12991</v>
      </c>
      <c r="E35" s="234">
        <f t="shared" si="1"/>
        <v>111.4</v>
      </c>
      <c r="F35" s="235">
        <f t="shared" si="1"/>
        <v>111.4</v>
      </c>
    </row>
    <row r="36" spans="1:6" ht="18.75" hidden="1" customHeight="1" x14ac:dyDescent="0.15">
      <c r="A36" s="770"/>
      <c r="B36" s="222" t="s">
        <v>93</v>
      </c>
      <c r="C36" s="236">
        <f>SUM(C33:C35)</f>
        <v>200203596</v>
      </c>
      <c r="D36" s="236">
        <f>SUM(D33:D35)</f>
        <v>195657077</v>
      </c>
      <c r="E36" s="237">
        <f t="shared" si="1"/>
        <v>102.7</v>
      </c>
      <c r="F36" s="238">
        <f t="shared" si="1"/>
        <v>103</v>
      </c>
    </row>
    <row r="37" spans="1:6" ht="18.75" hidden="1" customHeight="1" x14ac:dyDescent="0.15">
      <c r="A37" s="770" t="s">
        <v>7</v>
      </c>
      <c r="B37" s="224" t="s">
        <v>160</v>
      </c>
      <c r="C37" s="225">
        <v>131531094</v>
      </c>
      <c r="D37" s="225">
        <v>130407491</v>
      </c>
      <c r="E37" s="226">
        <f t="shared" si="1"/>
        <v>100.2</v>
      </c>
      <c r="F37" s="227">
        <f t="shared" si="1"/>
        <v>100.3</v>
      </c>
    </row>
    <row r="38" spans="1:6" ht="18.75" hidden="1" customHeight="1" x14ac:dyDescent="0.15">
      <c r="A38" s="770"/>
      <c r="B38" s="228" t="s">
        <v>161</v>
      </c>
      <c r="C38" s="229">
        <v>67105495</v>
      </c>
      <c r="D38" s="229">
        <v>63929712</v>
      </c>
      <c r="E38" s="230">
        <f t="shared" si="1"/>
        <v>97.5</v>
      </c>
      <c r="F38" s="231">
        <f t="shared" si="1"/>
        <v>97.5</v>
      </c>
    </row>
    <row r="39" spans="1:6" ht="18.75" hidden="1" customHeight="1" x14ac:dyDescent="0.15">
      <c r="A39" s="770"/>
      <c r="B39" s="232" t="s">
        <v>162</v>
      </c>
      <c r="C39" s="233">
        <v>10090</v>
      </c>
      <c r="D39" s="233">
        <v>10090</v>
      </c>
      <c r="E39" s="234">
        <f t="shared" si="1"/>
        <v>77.7</v>
      </c>
      <c r="F39" s="235">
        <f t="shared" si="1"/>
        <v>77.7</v>
      </c>
    </row>
    <row r="40" spans="1:6" ht="18.75" hidden="1" customHeight="1" x14ac:dyDescent="0.15">
      <c r="A40" s="770"/>
      <c r="B40" s="222" t="s">
        <v>93</v>
      </c>
      <c r="C40" s="236">
        <f>SUM(C37:C39)</f>
        <v>198646679</v>
      </c>
      <c r="D40" s="236">
        <f>SUM(D37:D39)</f>
        <v>194347293</v>
      </c>
      <c r="E40" s="237">
        <f t="shared" si="1"/>
        <v>99.2</v>
      </c>
      <c r="F40" s="238">
        <f t="shared" si="1"/>
        <v>99.3</v>
      </c>
    </row>
    <row r="41" spans="1:6" ht="18.75" hidden="1" customHeight="1" x14ac:dyDescent="0.15">
      <c r="A41" s="774" t="s">
        <v>8</v>
      </c>
      <c r="B41" s="228" t="s">
        <v>160</v>
      </c>
      <c r="C41" s="229">
        <v>128151648</v>
      </c>
      <c r="D41" s="229">
        <v>126963837</v>
      </c>
      <c r="E41" s="230">
        <f t="shared" ref="E41:F56" si="2">ROUND((C41/C37)*100,1)</f>
        <v>97.4</v>
      </c>
      <c r="F41" s="231">
        <f>ROUND((D41/D37)*100,1)</f>
        <v>97.4</v>
      </c>
    </row>
    <row r="42" spans="1:6" ht="18.75" hidden="1" customHeight="1" x14ac:dyDescent="0.15">
      <c r="A42" s="770"/>
      <c r="B42" s="228" t="s">
        <v>161</v>
      </c>
      <c r="C42" s="229">
        <v>66244962</v>
      </c>
      <c r="D42" s="229">
        <v>62968405</v>
      </c>
      <c r="E42" s="230">
        <f t="shared" si="2"/>
        <v>98.7</v>
      </c>
      <c r="F42" s="231">
        <f>ROUND((D42/D38)*100,1)</f>
        <v>98.5</v>
      </c>
    </row>
    <row r="43" spans="1:6" ht="18.75" hidden="1" customHeight="1" x14ac:dyDescent="0.15">
      <c r="A43" s="770"/>
      <c r="B43" s="232" t="s">
        <v>162</v>
      </c>
      <c r="C43" s="233">
        <v>18379</v>
      </c>
      <c r="D43" s="233">
        <v>18379</v>
      </c>
      <c r="E43" s="234">
        <f t="shared" si="2"/>
        <v>182.2</v>
      </c>
      <c r="F43" s="235">
        <f t="shared" si="2"/>
        <v>182.2</v>
      </c>
    </row>
    <row r="44" spans="1:6" ht="18.75" hidden="1" customHeight="1" x14ac:dyDescent="0.15">
      <c r="A44" s="772"/>
      <c r="B44" s="224" t="s">
        <v>93</v>
      </c>
      <c r="C44" s="225">
        <f>SUM(C41:C43)</f>
        <v>194414989</v>
      </c>
      <c r="D44" s="225">
        <f>SUM(D41:D43)</f>
        <v>189950621</v>
      </c>
      <c r="E44" s="226">
        <f t="shared" si="2"/>
        <v>97.9</v>
      </c>
      <c r="F44" s="227">
        <f t="shared" si="2"/>
        <v>97.7</v>
      </c>
    </row>
    <row r="45" spans="1:6" ht="18.75" hidden="1" customHeight="1" x14ac:dyDescent="0.15">
      <c r="A45" s="770" t="s">
        <v>9</v>
      </c>
      <c r="B45" s="224" t="s">
        <v>160</v>
      </c>
      <c r="C45" s="225">
        <v>123143978</v>
      </c>
      <c r="D45" s="225">
        <v>121926353</v>
      </c>
      <c r="E45" s="226">
        <f t="shared" si="2"/>
        <v>96.1</v>
      </c>
      <c r="F45" s="227">
        <f t="shared" si="2"/>
        <v>96</v>
      </c>
    </row>
    <row r="46" spans="1:6" ht="18.75" hidden="1" customHeight="1" x14ac:dyDescent="0.15">
      <c r="A46" s="770"/>
      <c r="B46" s="228" t="s">
        <v>161</v>
      </c>
      <c r="C46" s="229">
        <v>66005662</v>
      </c>
      <c r="D46" s="229">
        <v>62371381</v>
      </c>
      <c r="E46" s="230">
        <f t="shared" si="2"/>
        <v>99.6</v>
      </c>
      <c r="F46" s="231">
        <f t="shared" si="2"/>
        <v>99.1</v>
      </c>
    </row>
    <row r="47" spans="1:6" ht="18.75" hidden="1" customHeight="1" x14ac:dyDescent="0.15">
      <c r="A47" s="770"/>
      <c r="B47" s="232" t="s">
        <v>162</v>
      </c>
      <c r="C47" s="233">
        <v>15831</v>
      </c>
      <c r="D47" s="233">
        <v>15831</v>
      </c>
      <c r="E47" s="234">
        <f t="shared" si="2"/>
        <v>86.1</v>
      </c>
      <c r="F47" s="235">
        <f t="shared" si="2"/>
        <v>86.1</v>
      </c>
    </row>
    <row r="48" spans="1:6" ht="18.75" hidden="1" customHeight="1" x14ac:dyDescent="0.15">
      <c r="A48" s="772"/>
      <c r="B48" s="224" t="s">
        <v>93</v>
      </c>
      <c r="C48" s="225">
        <f>SUM(C45:C47)</f>
        <v>189165471</v>
      </c>
      <c r="D48" s="225">
        <f>SUM(D45:D47)</f>
        <v>184313565</v>
      </c>
      <c r="E48" s="226">
        <f t="shared" si="2"/>
        <v>97.3</v>
      </c>
      <c r="F48" s="227">
        <f t="shared" si="2"/>
        <v>97</v>
      </c>
    </row>
    <row r="49" spans="1:6" ht="18.75" hidden="1" customHeight="1" x14ac:dyDescent="0.15">
      <c r="A49" s="770" t="s">
        <v>10</v>
      </c>
      <c r="B49" s="224" t="s">
        <v>160</v>
      </c>
      <c r="C49" s="225">
        <v>123184169</v>
      </c>
      <c r="D49" s="225">
        <v>121621834</v>
      </c>
      <c r="E49" s="226">
        <f t="shared" si="2"/>
        <v>100</v>
      </c>
      <c r="F49" s="227">
        <f t="shared" si="2"/>
        <v>99.8</v>
      </c>
    </row>
    <row r="50" spans="1:6" ht="18.75" hidden="1" customHeight="1" x14ac:dyDescent="0.15">
      <c r="A50" s="770"/>
      <c r="B50" s="228" t="s">
        <v>161</v>
      </c>
      <c r="C50" s="229">
        <v>65575066</v>
      </c>
      <c r="D50" s="229">
        <v>61579062</v>
      </c>
      <c r="E50" s="230">
        <f t="shared" si="2"/>
        <v>99.3</v>
      </c>
      <c r="F50" s="231">
        <f t="shared" si="2"/>
        <v>98.7</v>
      </c>
    </row>
    <row r="51" spans="1:6" ht="18.75" hidden="1" customHeight="1" x14ac:dyDescent="0.15">
      <c r="A51" s="770"/>
      <c r="B51" s="232" t="s">
        <v>162</v>
      </c>
      <c r="C51" s="233">
        <v>14376</v>
      </c>
      <c r="D51" s="233">
        <v>14376</v>
      </c>
      <c r="E51" s="234">
        <f t="shared" si="2"/>
        <v>90.8</v>
      </c>
      <c r="F51" s="235">
        <f t="shared" si="2"/>
        <v>90.8</v>
      </c>
    </row>
    <row r="52" spans="1:6" ht="18.75" hidden="1" customHeight="1" x14ac:dyDescent="0.15">
      <c r="A52" s="770"/>
      <c r="B52" s="222" t="s">
        <v>93</v>
      </c>
      <c r="C52" s="236">
        <f>SUM(C49:C51)</f>
        <v>188773611</v>
      </c>
      <c r="D52" s="236">
        <f>SUM(D49:D51)</f>
        <v>183215272</v>
      </c>
      <c r="E52" s="237">
        <f t="shared" si="2"/>
        <v>99.8</v>
      </c>
      <c r="F52" s="238">
        <f t="shared" si="2"/>
        <v>99.4</v>
      </c>
    </row>
    <row r="53" spans="1:6" ht="18.75" hidden="1" customHeight="1" x14ac:dyDescent="0.15">
      <c r="A53" s="770" t="s">
        <v>11</v>
      </c>
      <c r="B53" s="224" t="s">
        <v>160</v>
      </c>
      <c r="C53" s="225">
        <v>118881264</v>
      </c>
      <c r="D53" s="225">
        <v>117583056</v>
      </c>
      <c r="E53" s="226">
        <f t="shared" si="2"/>
        <v>96.5</v>
      </c>
      <c r="F53" s="227">
        <f t="shared" si="2"/>
        <v>96.7</v>
      </c>
    </row>
    <row r="54" spans="1:6" ht="18.75" hidden="1" customHeight="1" x14ac:dyDescent="0.15">
      <c r="A54" s="770"/>
      <c r="B54" s="228" t="s">
        <v>161</v>
      </c>
      <c r="C54" s="229">
        <v>64970876</v>
      </c>
      <c r="D54" s="229">
        <v>60906716</v>
      </c>
      <c r="E54" s="230">
        <f t="shared" si="2"/>
        <v>99.1</v>
      </c>
      <c r="F54" s="231">
        <f t="shared" si="2"/>
        <v>98.9</v>
      </c>
    </row>
    <row r="55" spans="1:6" ht="18.75" hidden="1" customHeight="1" x14ac:dyDescent="0.15">
      <c r="A55" s="770"/>
      <c r="B55" s="232" t="s">
        <v>162</v>
      </c>
      <c r="C55" s="233">
        <v>12678</v>
      </c>
      <c r="D55" s="233">
        <v>12678</v>
      </c>
      <c r="E55" s="234">
        <f t="shared" si="2"/>
        <v>88.2</v>
      </c>
      <c r="F55" s="235">
        <f t="shared" si="2"/>
        <v>88.2</v>
      </c>
    </row>
    <row r="56" spans="1:6" ht="18.75" hidden="1" customHeight="1" x14ac:dyDescent="0.15">
      <c r="A56" s="770"/>
      <c r="B56" s="222" t="s">
        <v>93</v>
      </c>
      <c r="C56" s="236">
        <f>SUM(C53:C55)</f>
        <v>183864818</v>
      </c>
      <c r="D56" s="236">
        <f>SUM(D53:D55)</f>
        <v>178502450</v>
      </c>
      <c r="E56" s="237">
        <f t="shared" si="2"/>
        <v>97.4</v>
      </c>
      <c r="F56" s="238">
        <f t="shared" si="2"/>
        <v>97.4</v>
      </c>
    </row>
    <row r="57" spans="1:6" ht="18.75" hidden="1" customHeight="1" x14ac:dyDescent="0.15">
      <c r="A57" s="770" t="s">
        <v>163</v>
      </c>
      <c r="B57" s="224" t="s">
        <v>160</v>
      </c>
      <c r="C57" s="225">
        <v>113862529</v>
      </c>
      <c r="D57" s="225">
        <v>112810583</v>
      </c>
      <c r="E57" s="226">
        <f t="shared" ref="E57:F64" si="3">ROUND((C57/C53)*100,1)</f>
        <v>95.8</v>
      </c>
      <c r="F57" s="227">
        <f t="shared" si="3"/>
        <v>95.9</v>
      </c>
    </row>
    <row r="58" spans="1:6" ht="18.75" hidden="1" customHeight="1" x14ac:dyDescent="0.15">
      <c r="A58" s="770"/>
      <c r="B58" s="228" t="s">
        <v>161</v>
      </c>
      <c r="C58" s="229">
        <v>64780346</v>
      </c>
      <c r="D58" s="229">
        <v>60871142</v>
      </c>
      <c r="E58" s="230">
        <f t="shared" si="3"/>
        <v>99.7</v>
      </c>
      <c r="F58" s="231">
        <f t="shared" si="3"/>
        <v>99.9</v>
      </c>
    </row>
    <row r="59" spans="1:6" ht="18.75" hidden="1" customHeight="1" x14ac:dyDescent="0.15">
      <c r="A59" s="770"/>
      <c r="B59" s="232" t="s">
        <v>162</v>
      </c>
      <c r="C59" s="239" t="s">
        <v>164</v>
      </c>
      <c r="D59" s="239" t="s">
        <v>164</v>
      </c>
      <c r="E59" s="240" t="s">
        <v>165</v>
      </c>
      <c r="F59" s="241" t="s">
        <v>165</v>
      </c>
    </row>
    <row r="60" spans="1:6" ht="18.75" hidden="1" customHeight="1" x14ac:dyDescent="0.15">
      <c r="A60" s="770"/>
      <c r="B60" s="222" t="s">
        <v>93</v>
      </c>
      <c r="C60" s="236">
        <f>SUM(C57:C59)</f>
        <v>178642875</v>
      </c>
      <c r="D60" s="236">
        <f>SUM(D57:D59)</f>
        <v>173681725</v>
      </c>
      <c r="E60" s="237">
        <f t="shared" si="3"/>
        <v>97.2</v>
      </c>
      <c r="F60" s="238">
        <f t="shared" si="3"/>
        <v>97.3</v>
      </c>
    </row>
    <row r="61" spans="1:6" ht="18.75" hidden="1" customHeight="1" x14ac:dyDescent="0.15">
      <c r="A61" s="772" t="s">
        <v>13</v>
      </c>
      <c r="B61" s="228" t="s">
        <v>160</v>
      </c>
      <c r="C61" s="229">
        <v>114354574</v>
      </c>
      <c r="D61" s="229">
        <v>113445493</v>
      </c>
      <c r="E61" s="230">
        <f t="shared" si="3"/>
        <v>100.4</v>
      </c>
      <c r="F61" s="231">
        <f t="shared" si="3"/>
        <v>100.6</v>
      </c>
    </row>
    <row r="62" spans="1:6" ht="18.75" hidden="1" customHeight="1" x14ac:dyDescent="0.15">
      <c r="A62" s="773"/>
      <c r="B62" s="228" t="s">
        <v>161</v>
      </c>
      <c r="C62" s="229">
        <v>63925447</v>
      </c>
      <c r="D62" s="229">
        <v>60265880</v>
      </c>
      <c r="E62" s="230">
        <f t="shared" si="3"/>
        <v>98.7</v>
      </c>
      <c r="F62" s="231">
        <f t="shared" si="3"/>
        <v>99</v>
      </c>
    </row>
    <row r="63" spans="1:6" ht="18.75" hidden="1" customHeight="1" x14ac:dyDescent="0.15">
      <c r="A63" s="773"/>
      <c r="B63" s="232" t="s">
        <v>162</v>
      </c>
      <c r="C63" s="239" t="s">
        <v>164</v>
      </c>
      <c r="D63" s="239" t="s">
        <v>164</v>
      </c>
      <c r="E63" s="240" t="s">
        <v>165</v>
      </c>
      <c r="F63" s="241" t="s">
        <v>165</v>
      </c>
    </row>
    <row r="64" spans="1:6" ht="18.75" hidden="1" customHeight="1" x14ac:dyDescent="0.15">
      <c r="A64" s="774"/>
      <c r="B64" s="222" t="s">
        <v>93</v>
      </c>
      <c r="C64" s="236">
        <f>SUM(C61:C63)</f>
        <v>178280021</v>
      </c>
      <c r="D64" s="236">
        <f>SUM(D61:D63)</f>
        <v>173711373</v>
      </c>
      <c r="E64" s="237">
        <f t="shared" si="3"/>
        <v>99.8</v>
      </c>
      <c r="F64" s="238">
        <f t="shared" si="3"/>
        <v>100</v>
      </c>
    </row>
    <row r="65" spans="1:6" ht="18.75" hidden="1" customHeight="1" x14ac:dyDescent="0.15">
      <c r="A65" s="772" t="s">
        <v>132</v>
      </c>
      <c r="B65" s="224" t="s">
        <v>160</v>
      </c>
      <c r="C65" s="225">
        <v>114658590</v>
      </c>
      <c r="D65" s="225">
        <v>113588243</v>
      </c>
      <c r="E65" s="226">
        <f>ROUND((C65/C61)*100,1)</f>
        <v>100.3</v>
      </c>
      <c r="F65" s="242">
        <f>ROUND((D65/D61)*100,1)</f>
        <v>100.1</v>
      </c>
    </row>
    <row r="66" spans="1:6" ht="18.75" hidden="1" customHeight="1" x14ac:dyDescent="0.15">
      <c r="A66" s="773"/>
      <c r="B66" s="228" t="s">
        <v>166</v>
      </c>
      <c r="C66" s="229">
        <v>62483192</v>
      </c>
      <c r="D66" s="229">
        <v>59102967</v>
      </c>
      <c r="E66" s="230">
        <f>ROUND((C66/C62)*100,1)</f>
        <v>97.7</v>
      </c>
      <c r="F66" s="242">
        <f>ROUND((D66/D62)*100,1)</f>
        <v>98.1</v>
      </c>
    </row>
    <row r="67" spans="1:6" ht="18.75" hidden="1" customHeight="1" x14ac:dyDescent="0.15">
      <c r="A67" s="773"/>
      <c r="B67" s="228" t="s">
        <v>162</v>
      </c>
      <c r="C67" s="243" t="s">
        <v>164</v>
      </c>
      <c r="D67" s="243" t="s">
        <v>164</v>
      </c>
      <c r="E67" s="244" t="s">
        <v>164</v>
      </c>
      <c r="F67" s="245" t="s">
        <v>164</v>
      </c>
    </row>
    <row r="68" spans="1:6" ht="18.75" hidden="1" customHeight="1" x14ac:dyDescent="0.15">
      <c r="A68" s="774"/>
      <c r="B68" s="224" t="s">
        <v>93</v>
      </c>
      <c r="C68" s="225">
        <f>SUM(C65:C67)</f>
        <v>177141782</v>
      </c>
      <c r="D68" s="225">
        <f>SUM(D65:D67)</f>
        <v>172691210</v>
      </c>
      <c r="E68" s="226">
        <f t="shared" ref="E68:F70" si="4">ROUND((C68/C64)*100,1)</f>
        <v>99.4</v>
      </c>
      <c r="F68" s="235">
        <f t="shared" si="4"/>
        <v>99.4</v>
      </c>
    </row>
    <row r="69" spans="1:6" ht="18.75" hidden="1" customHeight="1" x14ac:dyDescent="0.15">
      <c r="A69" s="772" t="s">
        <v>36</v>
      </c>
      <c r="B69" s="224" t="s">
        <v>160</v>
      </c>
      <c r="C69" s="225">
        <v>120545428</v>
      </c>
      <c r="D69" s="225">
        <v>118629818</v>
      </c>
      <c r="E69" s="226">
        <f t="shared" si="4"/>
        <v>105.1</v>
      </c>
      <c r="F69" s="242">
        <f t="shared" si="4"/>
        <v>104.4</v>
      </c>
    </row>
    <row r="70" spans="1:6" ht="18.75" hidden="1" customHeight="1" x14ac:dyDescent="0.15">
      <c r="A70" s="773"/>
      <c r="B70" s="228" t="s">
        <v>166</v>
      </c>
      <c r="C70" s="229">
        <v>61793467</v>
      </c>
      <c r="D70" s="229">
        <v>58631073</v>
      </c>
      <c r="E70" s="230">
        <f t="shared" si="4"/>
        <v>98.9</v>
      </c>
      <c r="F70" s="242">
        <f t="shared" si="4"/>
        <v>99.2</v>
      </c>
    </row>
    <row r="71" spans="1:6" ht="18.75" hidden="1" customHeight="1" x14ac:dyDescent="0.15">
      <c r="A71" s="773"/>
      <c r="B71" s="228" t="s">
        <v>162</v>
      </c>
      <c r="C71" s="243" t="s">
        <v>164</v>
      </c>
      <c r="D71" s="243" t="s">
        <v>164</v>
      </c>
      <c r="E71" s="244" t="s">
        <v>164</v>
      </c>
      <c r="F71" s="245" t="s">
        <v>164</v>
      </c>
    </row>
    <row r="72" spans="1:6" ht="18.75" hidden="1" customHeight="1" x14ac:dyDescent="0.15">
      <c r="A72" s="774"/>
      <c r="B72" s="224" t="s">
        <v>93</v>
      </c>
      <c r="C72" s="225">
        <f>SUM(C69:C71)</f>
        <v>182338895</v>
      </c>
      <c r="D72" s="225">
        <f>SUM(D69:D71)</f>
        <v>177260891</v>
      </c>
      <c r="E72" s="226">
        <f t="shared" ref="E72:F74" si="5">ROUND((C72/C68)*100,1)</f>
        <v>102.9</v>
      </c>
      <c r="F72" s="235">
        <f t="shared" si="5"/>
        <v>102.6</v>
      </c>
    </row>
    <row r="73" spans="1:6" ht="18.75" hidden="1" customHeight="1" x14ac:dyDescent="0.15">
      <c r="A73" s="772" t="s">
        <v>37</v>
      </c>
      <c r="B73" s="224" t="s">
        <v>160</v>
      </c>
      <c r="C73" s="225">
        <v>126135552</v>
      </c>
      <c r="D73" s="225">
        <v>123793926</v>
      </c>
      <c r="E73" s="226">
        <f>ROUND((C73/C69)*100,1)</f>
        <v>104.6</v>
      </c>
      <c r="F73" s="242">
        <f>ROUND((D73/D69)*100,1)</f>
        <v>104.4</v>
      </c>
    </row>
    <row r="74" spans="1:6" ht="18.75" hidden="1" customHeight="1" x14ac:dyDescent="0.15">
      <c r="A74" s="773"/>
      <c r="B74" s="228" t="s">
        <v>166</v>
      </c>
      <c r="C74" s="229">
        <v>61572187</v>
      </c>
      <c r="D74" s="229">
        <v>58401948</v>
      </c>
      <c r="E74" s="230">
        <f>ROUND((C74/C70)*100,1)</f>
        <v>99.6</v>
      </c>
      <c r="F74" s="242">
        <f t="shared" si="5"/>
        <v>99.6</v>
      </c>
    </row>
    <row r="75" spans="1:6" ht="18.75" hidden="1" customHeight="1" x14ac:dyDescent="0.15">
      <c r="A75" s="773"/>
      <c r="B75" s="228" t="s">
        <v>162</v>
      </c>
      <c r="C75" s="243" t="s">
        <v>164</v>
      </c>
      <c r="D75" s="243" t="s">
        <v>164</v>
      </c>
      <c r="E75" s="244" t="s">
        <v>164</v>
      </c>
      <c r="F75" s="245" t="s">
        <v>164</v>
      </c>
    </row>
    <row r="76" spans="1:6" ht="18.75" hidden="1" customHeight="1" x14ac:dyDescent="0.15">
      <c r="A76" s="774"/>
      <c r="B76" s="224" t="s">
        <v>93</v>
      </c>
      <c r="C76" s="225">
        <f>SUM(C73:C75)</f>
        <v>187707739</v>
      </c>
      <c r="D76" s="225">
        <f>SUM(D73:D75)</f>
        <v>182195874</v>
      </c>
      <c r="E76" s="226">
        <f t="shared" ref="E76:F78" si="6">ROUND((C76/C72)*100,1)</f>
        <v>102.9</v>
      </c>
      <c r="F76" s="235">
        <f t="shared" si="6"/>
        <v>102.8</v>
      </c>
    </row>
    <row r="77" spans="1:6" ht="18.75" hidden="1" customHeight="1" x14ac:dyDescent="0.15">
      <c r="A77" s="772" t="s">
        <v>38</v>
      </c>
      <c r="B77" s="224" t="s">
        <v>160</v>
      </c>
      <c r="C77" s="225">
        <v>126413946</v>
      </c>
      <c r="D77" s="225">
        <v>124297514</v>
      </c>
      <c r="E77" s="226">
        <f t="shared" si="6"/>
        <v>100.2</v>
      </c>
      <c r="F77" s="242">
        <f t="shared" si="6"/>
        <v>100.4</v>
      </c>
    </row>
    <row r="78" spans="1:6" ht="18.75" hidden="1" customHeight="1" x14ac:dyDescent="0.15">
      <c r="A78" s="773"/>
      <c r="B78" s="228" t="s">
        <v>166</v>
      </c>
      <c r="C78" s="229">
        <v>63012112</v>
      </c>
      <c r="D78" s="229">
        <v>59225368</v>
      </c>
      <c r="E78" s="230">
        <f t="shared" si="6"/>
        <v>102.3</v>
      </c>
      <c r="F78" s="242">
        <f t="shared" si="6"/>
        <v>101.4</v>
      </c>
    </row>
    <row r="79" spans="1:6" ht="18.75" hidden="1" customHeight="1" x14ac:dyDescent="0.15">
      <c r="A79" s="773"/>
      <c r="B79" s="232" t="s">
        <v>162</v>
      </c>
      <c r="C79" s="239" t="s">
        <v>164</v>
      </c>
      <c r="D79" s="239" t="s">
        <v>164</v>
      </c>
      <c r="E79" s="246" t="s">
        <v>164</v>
      </c>
      <c r="F79" s="247" t="s">
        <v>164</v>
      </c>
    </row>
    <row r="80" spans="1:6" ht="18.75" hidden="1" customHeight="1" x14ac:dyDescent="0.15">
      <c r="A80" s="773"/>
      <c r="B80" s="228" t="s">
        <v>93</v>
      </c>
      <c r="C80" s="229">
        <f>SUM(C77:C79)</f>
        <v>189426058</v>
      </c>
      <c r="D80" s="229">
        <f>SUM(D77:D79)</f>
        <v>183522882</v>
      </c>
      <c r="E80" s="230">
        <f t="shared" ref="E80:F82" si="7">ROUND((C80/C76)*100,1)</f>
        <v>100.9</v>
      </c>
      <c r="F80" s="242">
        <f t="shared" si="7"/>
        <v>100.7</v>
      </c>
    </row>
    <row r="81" spans="1:6" ht="18.75" hidden="1" customHeight="1" x14ac:dyDescent="0.15">
      <c r="A81" s="772" t="s">
        <v>39</v>
      </c>
      <c r="B81" s="224" t="s">
        <v>160</v>
      </c>
      <c r="C81" s="225">
        <v>128269502</v>
      </c>
      <c r="D81" s="225">
        <v>126173197</v>
      </c>
      <c r="E81" s="226">
        <f>ROUND((C81/C77)*100,1)</f>
        <v>101.5</v>
      </c>
      <c r="F81" s="248">
        <f t="shared" si="7"/>
        <v>101.5</v>
      </c>
    </row>
    <row r="82" spans="1:6" ht="18.75" hidden="1" customHeight="1" x14ac:dyDescent="0.15">
      <c r="A82" s="773"/>
      <c r="B82" s="228" t="s">
        <v>166</v>
      </c>
      <c r="C82" s="229">
        <v>63373639</v>
      </c>
      <c r="D82" s="229">
        <v>59057580</v>
      </c>
      <c r="E82" s="230">
        <f t="shared" si="7"/>
        <v>100.6</v>
      </c>
      <c r="F82" s="242">
        <f t="shared" si="7"/>
        <v>99.7</v>
      </c>
    </row>
    <row r="83" spans="1:6" ht="18.75" hidden="1" customHeight="1" x14ac:dyDescent="0.15">
      <c r="A83" s="773"/>
      <c r="B83" s="232" t="s">
        <v>162</v>
      </c>
      <c r="C83" s="239" t="s">
        <v>164</v>
      </c>
      <c r="D83" s="239" t="s">
        <v>164</v>
      </c>
      <c r="E83" s="246" t="s">
        <v>164</v>
      </c>
      <c r="F83" s="247" t="s">
        <v>164</v>
      </c>
    </row>
    <row r="84" spans="1:6" ht="18.75" hidden="1" customHeight="1" x14ac:dyDescent="0.15">
      <c r="A84" s="774"/>
      <c r="B84" s="232" t="s">
        <v>93</v>
      </c>
      <c r="C84" s="233">
        <f>SUM(C81:C83)</f>
        <v>191643141</v>
      </c>
      <c r="D84" s="233">
        <f>SUM(D81:D83)</f>
        <v>185230777</v>
      </c>
      <c r="E84" s="234">
        <f t="shared" ref="E84:F86" si="8">ROUND((C84/C80)*100,1)</f>
        <v>101.2</v>
      </c>
      <c r="F84" s="249">
        <f>ROUND((D84/D80)*100,1)</f>
        <v>100.9</v>
      </c>
    </row>
    <row r="85" spans="1:6" ht="18.75" customHeight="1" x14ac:dyDescent="0.15">
      <c r="A85" s="773" t="s">
        <v>134</v>
      </c>
      <c r="B85" s="228" t="s">
        <v>160</v>
      </c>
      <c r="C85" s="229">
        <v>136153610</v>
      </c>
      <c r="D85" s="229">
        <v>133118651</v>
      </c>
      <c r="E85" s="230">
        <f t="shared" si="8"/>
        <v>106.1</v>
      </c>
      <c r="F85" s="242">
        <f t="shared" si="8"/>
        <v>105.5</v>
      </c>
    </row>
    <row r="86" spans="1:6" ht="18.75" customHeight="1" x14ac:dyDescent="0.15">
      <c r="A86" s="773"/>
      <c r="B86" s="228" t="s">
        <v>166</v>
      </c>
      <c r="C86" s="229">
        <v>62135003</v>
      </c>
      <c r="D86" s="229">
        <v>57749532</v>
      </c>
      <c r="E86" s="230">
        <f t="shared" si="8"/>
        <v>98</v>
      </c>
      <c r="F86" s="242">
        <f t="shared" si="8"/>
        <v>97.8</v>
      </c>
    </row>
    <row r="87" spans="1:6" ht="18.75" customHeight="1" x14ac:dyDescent="0.15">
      <c r="A87" s="773"/>
      <c r="B87" s="232" t="s">
        <v>162</v>
      </c>
      <c r="C87" s="239" t="s">
        <v>164</v>
      </c>
      <c r="D87" s="239" t="s">
        <v>164</v>
      </c>
      <c r="E87" s="691" t="s">
        <v>164</v>
      </c>
      <c r="F87" s="692" t="s">
        <v>164</v>
      </c>
    </row>
    <row r="88" spans="1:6" ht="18.75" customHeight="1" x14ac:dyDescent="0.15">
      <c r="A88" s="773"/>
      <c r="B88" s="228" t="s">
        <v>93</v>
      </c>
      <c r="C88" s="229">
        <f>SUM(C85:C87)</f>
        <v>198288613</v>
      </c>
      <c r="D88" s="229">
        <f>SUM(D85:D87)</f>
        <v>190868183</v>
      </c>
      <c r="E88" s="230">
        <f>ROUND((C88/C84)*100,1)</f>
        <v>103.5</v>
      </c>
      <c r="F88" s="242">
        <f>ROUND((D88/D84)*100,1)</f>
        <v>103</v>
      </c>
    </row>
    <row r="89" spans="1:6" ht="18.75" customHeight="1" x14ac:dyDescent="0.15">
      <c r="A89" s="772" t="s">
        <v>41</v>
      </c>
      <c r="B89" s="224" t="s">
        <v>160</v>
      </c>
      <c r="C89" s="225">
        <v>137702850</v>
      </c>
      <c r="D89" s="225">
        <v>133200137</v>
      </c>
      <c r="E89" s="226">
        <f>ROUND((C89/C81)*100,1)</f>
        <v>107.4</v>
      </c>
      <c r="F89" s="248">
        <f>ROUND((D89/D81)*100,1)</f>
        <v>105.6</v>
      </c>
    </row>
    <row r="90" spans="1:6" ht="18.75" customHeight="1" x14ac:dyDescent="0.15">
      <c r="A90" s="773"/>
      <c r="B90" s="228" t="s">
        <v>166</v>
      </c>
      <c r="C90" s="229">
        <v>60888088</v>
      </c>
      <c r="D90" s="229">
        <v>56733273</v>
      </c>
      <c r="E90" s="230">
        <f>ROUND((C90/C82)*100,1)</f>
        <v>96.1</v>
      </c>
      <c r="F90" s="242">
        <f>ROUND((D90/D82)*100,1)</f>
        <v>96.1</v>
      </c>
    </row>
    <row r="91" spans="1:6" ht="18.75" customHeight="1" x14ac:dyDescent="0.15">
      <c r="A91" s="773"/>
      <c r="B91" s="232" t="s">
        <v>162</v>
      </c>
      <c r="C91" s="239" t="s">
        <v>164</v>
      </c>
      <c r="D91" s="239" t="s">
        <v>164</v>
      </c>
      <c r="E91" s="691" t="s">
        <v>164</v>
      </c>
      <c r="F91" s="692" t="s">
        <v>164</v>
      </c>
    </row>
    <row r="92" spans="1:6" ht="18.75" customHeight="1" x14ac:dyDescent="0.15">
      <c r="A92" s="774"/>
      <c r="B92" s="232" t="s">
        <v>93</v>
      </c>
      <c r="C92" s="233">
        <f>SUM(C89:C91)</f>
        <v>198590938</v>
      </c>
      <c r="D92" s="233">
        <f>SUM(D89:D91)</f>
        <v>189933410</v>
      </c>
      <c r="E92" s="234">
        <f>ROUND((C92/C84)*100,1)</f>
        <v>103.6</v>
      </c>
      <c r="F92" s="249">
        <f>ROUND((D92/D84)*100,1)</f>
        <v>102.5</v>
      </c>
    </row>
    <row r="93" spans="1:6" ht="18.75" customHeight="1" x14ac:dyDescent="0.15">
      <c r="A93" s="773" t="s">
        <v>42</v>
      </c>
      <c r="B93" s="228" t="s">
        <v>160</v>
      </c>
      <c r="C93" s="229">
        <v>131762430</v>
      </c>
      <c r="D93" s="229">
        <v>122011087</v>
      </c>
      <c r="E93" s="230">
        <f>ROUND((C93/C89)*100,1)</f>
        <v>95.7</v>
      </c>
      <c r="F93" s="242">
        <f>ROUND((D93/D89)*100,1)</f>
        <v>91.6</v>
      </c>
    </row>
    <row r="94" spans="1:6" ht="18.75" customHeight="1" x14ac:dyDescent="0.15">
      <c r="A94" s="773"/>
      <c r="B94" s="228" t="s">
        <v>166</v>
      </c>
      <c r="C94" s="229">
        <v>59578407</v>
      </c>
      <c r="D94" s="229">
        <v>55690409</v>
      </c>
      <c r="E94" s="230">
        <f>ROUND((C94/C90)*100,1)</f>
        <v>97.8</v>
      </c>
      <c r="F94" s="242">
        <f>ROUND((D94/D90)*100,1)</f>
        <v>98.2</v>
      </c>
    </row>
    <row r="95" spans="1:6" ht="18.75" customHeight="1" x14ac:dyDescent="0.15">
      <c r="A95" s="773"/>
      <c r="B95" s="232" t="s">
        <v>162</v>
      </c>
      <c r="C95" s="239" t="s">
        <v>164</v>
      </c>
      <c r="D95" s="239" t="s">
        <v>164</v>
      </c>
      <c r="E95" s="691" t="s">
        <v>164</v>
      </c>
      <c r="F95" s="692" t="s">
        <v>164</v>
      </c>
    </row>
    <row r="96" spans="1:6" ht="18.75" customHeight="1" x14ac:dyDescent="0.15">
      <c r="A96" s="773"/>
      <c r="B96" s="228" t="s">
        <v>93</v>
      </c>
      <c r="C96" s="229">
        <f>SUM(C93:C95)</f>
        <v>191340837</v>
      </c>
      <c r="D96" s="229">
        <f>SUM(D93:D95)</f>
        <v>177701496</v>
      </c>
      <c r="E96" s="230">
        <f t="shared" ref="E96:F98" si="9">ROUND((C96/C92)*100,1)</f>
        <v>96.3</v>
      </c>
      <c r="F96" s="242">
        <f t="shared" si="9"/>
        <v>93.6</v>
      </c>
    </row>
    <row r="97" spans="1:6" ht="18.75" customHeight="1" x14ac:dyDescent="0.15">
      <c r="A97" s="772" t="s">
        <v>43</v>
      </c>
      <c r="B97" s="224" t="s">
        <v>160</v>
      </c>
      <c r="C97" s="225">
        <v>139299121</v>
      </c>
      <c r="D97" s="225">
        <v>134697041</v>
      </c>
      <c r="E97" s="226">
        <f t="shared" si="9"/>
        <v>105.7</v>
      </c>
      <c r="F97" s="248">
        <f t="shared" si="9"/>
        <v>110.4</v>
      </c>
    </row>
    <row r="98" spans="1:6" ht="18.75" customHeight="1" x14ac:dyDescent="0.15">
      <c r="A98" s="773"/>
      <c r="B98" s="228" t="s">
        <v>166</v>
      </c>
      <c r="C98" s="229">
        <v>57106952</v>
      </c>
      <c r="D98" s="229">
        <v>53561645</v>
      </c>
      <c r="E98" s="230">
        <f>ROUND((C98/C94)*100,1)</f>
        <v>95.9</v>
      </c>
      <c r="F98" s="242">
        <f t="shared" si="9"/>
        <v>96.2</v>
      </c>
    </row>
    <row r="99" spans="1:6" ht="18.75" customHeight="1" x14ac:dyDescent="0.15">
      <c r="A99" s="773"/>
      <c r="B99" s="232" t="s">
        <v>162</v>
      </c>
      <c r="C99" s="239" t="s">
        <v>164</v>
      </c>
      <c r="D99" s="239" t="s">
        <v>164</v>
      </c>
      <c r="E99" s="691" t="s">
        <v>164</v>
      </c>
      <c r="F99" s="692" t="s">
        <v>164</v>
      </c>
    </row>
    <row r="100" spans="1:6" ht="18.75" customHeight="1" x14ac:dyDescent="0.15">
      <c r="A100" s="773"/>
      <c r="B100" s="228" t="s">
        <v>93</v>
      </c>
      <c r="C100" s="229">
        <f>SUM(C97:C99)</f>
        <v>196406073</v>
      </c>
      <c r="D100" s="229">
        <f>SUM(D97:D99)</f>
        <v>188258686</v>
      </c>
      <c r="E100" s="230">
        <f t="shared" ref="E100:F102" si="10">ROUND((C100/C96)*100,1)</f>
        <v>102.6</v>
      </c>
      <c r="F100" s="242">
        <f t="shared" si="10"/>
        <v>105.9</v>
      </c>
    </row>
    <row r="101" spans="1:6" s="254" customFormat="1" ht="18.75" customHeight="1" x14ac:dyDescent="0.15">
      <c r="A101" s="775" t="s">
        <v>44</v>
      </c>
      <c r="B101" s="250" t="s">
        <v>160</v>
      </c>
      <c r="C101" s="251">
        <v>140309755</v>
      </c>
      <c r="D101" s="251">
        <v>136535354</v>
      </c>
      <c r="E101" s="252">
        <f t="shared" si="10"/>
        <v>100.7</v>
      </c>
      <c r="F101" s="253">
        <f t="shared" si="10"/>
        <v>101.4</v>
      </c>
    </row>
    <row r="102" spans="1:6" s="254" customFormat="1" ht="18.75" customHeight="1" x14ac:dyDescent="0.15">
      <c r="A102" s="776"/>
      <c r="B102" s="255" t="s">
        <v>166</v>
      </c>
      <c r="C102" s="256">
        <v>58694118</v>
      </c>
      <c r="D102" s="256">
        <v>55236450</v>
      </c>
      <c r="E102" s="257">
        <f t="shared" si="10"/>
        <v>102.8</v>
      </c>
      <c r="F102" s="258">
        <f t="shared" si="10"/>
        <v>103.1</v>
      </c>
    </row>
    <row r="103" spans="1:6" s="254" customFormat="1" ht="18.75" customHeight="1" x14ac:dyDescent="0.15">
      <c r="A103" s="776"/>
      <c r="B103" s="259" t="s">
        <v>162</v>
      </c>
      <c r="C103" s="260" t="s">
        <v>164</v>
      </c>
      <c r="D103" s="260" t="s">
        <v>164</v>
      </c>
      <c r="E103" s="693" t="s">
        <v>164</v>
      </c>
      <c r="F103" s="694" t="s">
        <v>164</v>
      </c>
    </row>
    <row r="104" spans="1:6" s="254" customFormat="1" ht="18.75" customHeight="1" thickBot="1" x14ac:dyDescent="0.2">
      <c r="A104" s="777"/>
      <c r="B104" s="261" t="s">
        <v>93</v>
      </c>
      <c r="C104" s="262">
        <f>SUM(C101:C103)</f>
        <v>199003873</v>
      </c>
      <c r="D104" s="262">
        <f>SUM(D101:D103)</f>
        <v>191771804</v>
      </c>
      <c r="E104" s="263">
        <f>ROUND((C104/C100)*100,1)</f>
        <v>101.3</v>
      </c>
      <c r="F104" s="264">
        <f>ROUND((D104/D100)*100,1)</f>
        <v>101.9</v>
      </c>
    </row>
    <row r="105" spans="1:6" ht="18.75" customHeight="1" x14ac:dyDescent="0.15">
      <c r="A105" s="218" t="s">
        <v>167</v>
      </c>
      <c r="B105" s="218"/>
      <c r="C105" s="265"/>
      <c r="D105" s="265"/>
      <c r="E105" s="266"/>
      <c r="F105" s="266"/>
    </row>
    <row r="106" spans="1:6" ht="18.75" customHeight="1" x14ac:dyDescent="0.15">
      <c r="A106" s="218"/>
      <c r="B106" s="218"/>
      <c r="C106" s="218"/>
      <c r="D106" s="218"/>
      <c r="E106" s="218"/>
      <c r="F106" s="218"/>
    </row>
    <row r="107" spans="1:6" ht="18.75" customHeight="1" thickBot="1" x14ac:dyDescent="0.2">
      <c r="A107" s="267" t="s">
        <v>168</v>
      </c>
      <c r="F107" s="268" t="s">
        <v>169</v>
      </c>
    </row>
    <row r="108" spans="1:6" ht="18.75" customHeight="1" x14ac:dyDescent="0.15">
      <c r="A108" s="780" t="s">
        <v>3</v>
      </c>
      <c r="B108" s="782" t="s">
        <v>156</v>
      </c>
      <c r="C108" s="782" t="s">
        <v>77</v>
      </c>
      <c r="D108" s="782" t="s">
        <v>170</v>
      </c>
      <c r="E108" s="782"/>
      <c r="F108" s="784"/>
    </row>
    <row r="109" spans="1:6" ht="18.75" customHeight="1" x14ac:dyDescent="0.15">
      <c r="A109" s="781"/>
      <c r="B109" s="783"/>
      <c r="C109" s="783"/>
      <c r="D109" s="250" t="s">
        <v>171</v>
      </c>
      <c r="E109" s="783" t="s">
        <v>172</v>
      </c>
      <c r="F109" s="785"/>
    </row>
    <row r="110" spans="1:6" s="254" customFormat="1" ht="18.75" customHeight="1" x14ac:dyDescent="0.15">
      <c r="A110" s="269" t="s">
        <v>173</v>
      </c>
      <c r="B110" s="251">
        <v>44219600</v>
      </c>
      <c r="C110" s="251">
        <v>44000087</v>
      </c>
      <c r="D110" s="251">
        <v>152960</v>
      </c>
      <c r="E110" s="786">
        <v>43847127</v>
      </c>
      <c r="F110" s="787"/>
    </row>
    <row r="111" spans="1:6" s="254" customFormat="1" ht="18.75" customHeight="1" x14ac:dyDescent="0.15">
      <c r="A111" s="270" t="s">
        <v>174</v>
      </c>
      <c r="B111" s="256">
        <v>60963395</v>
      </c>
      <c r="C111" s="256">
        <v>57589973</v>
      </c>
      <c r="D111" s="256">
        <v>377069</v>
      </c>
      <c r="E111" s="788">
        <v>57212904</v>
      </c>
      <c r="F111" s="789"/>
    </row>
    <row r="112" spans="1:6" s="254" customFormat="1" ht="18.75" customHeight="1" x14ac:dyDescent="0.15">
      <c r="A112" s="270" t="s">
        <v>175</v>
      </c>
      <c r="B112" s="256">
        <v>29611</v>
      </c>
      <c r="C112" s="256">
        <v>29611</v>
      </c>
      <c r="D112" s="271">
        <v>0</v>
      </c>
      <c r="E112" s="788">
        <v>29611</v>
      </c>
      <c r="F112" s="789"/>
    </row>
    <row r="113" spans="1:6" s="254" customFormat="1" ht="18.75" customHeight="1" x14ac:dyDescent="0.15">
      <c r="A113" s="270" t="s">
        <v>176</v>
      </c>
      <c r="B113" s="271">
        <v>2468</v>
      </c>
      <c r="C113" s="271">
        <v>2468</v>
      </c>
      <c r="D113" s="271">
        <v>0</v>
      </c>
      <c r="E113" s="790">
        <v>2468</v>
      </c>
      <c r="F113" s="791"/>
    </row>
    <row r="114" spans="1:6" s="254" customFormat="1" ht="18.75" customHeight="1" x14ac:dyDescent="0.15">
      <c r="A114" s="270" t="s">
        <v>177</v>
      </c>
      <c r="B114" s="256">
        <v>440878</v>
      </c>
      <c r="C114" s="256">
        <v>440874</v>
      </c>
      <c r="D114" s="271">
        <v>4</v>
      </c>
      <c r="E114" s="788">
        <v>440870</v>
      </c>
      <c r="F114" s="789"/>
    </row>
    <row r="115" spans="1:6" s="254" customFormat="1" ht="18.75" customHeight="1" x14ac:dyDescent="0.15">
      <c r="A115" s="272" t="s">
        <v>178</v>
      </c>
      <c r="B115" s="273">
        <v>34653803</v>
      </c>
      <c r="C115" s="273">
        <v>34472341</v>
      </c>
      <c r="D115" s="273">
        <v>17058</v>
      </c>
      <c r="E115" s="792">
        <v>34455283</v>
      </c>
      <c r="F115" s="793"/>
    </row>
    <row r="116" spans="1:6" ht="18.75" customHeight="1" thickBot="1" x14ac:dyDescent="0.2">
      <c r="A116" s="274" t="s">
        <v>29</v>
      </c>
      <c r="B116" s="262">
        <f>SUM(B110:B115)</f>
        <v>140309755</v>
      </c>
      <c r="C116" s="262">
        <f>SUM(C110:C115)</f>
        <v>136535354</v>
      </c>
      <c r="D116" s="262">
        <f>SUM(D110:D115)</f>
        <v>547091</v>
      </c>
      <c r="E116" s="778">
        <f>SUM(E110:E115)</f>
        <v>135988263</v>
      </c>
      <c r="F116" s="779">
        <f>SUM(F110:F115)</f>
        <v>0</v>
      </c>
    </row>
    <row r="117" spans="1:6" ht="18.75" customHeight="1" x14ac:dyDescent="0.15">
      <c r="A117" s="275"/>
    </row>
  </sheetData>
  <mergeCells count="42">
    <mergeCell ref="E116:F116"/>
    <mergeCell ref="A108:A109"/>
    <mergeCell ref="B108:B109"/>
    <mergeCell ref="C108:C109"/>
    <mergeCell ref="D108:F108"/>
    <mergeCell ref="E109:F109"/>
    <mergeCell ref="E110:F110"/>
    <mergeCell ref="E111:F111"/>
    <mergeCell ref="E112:F112"/>
    <mergeCell ref="E113:F113"/>
    <mergeCell ref="E114:F114"/>
    <mergeCell ref="E115:F115"/>
    <mergeCell ref="A101:A104"/>
    <mergeCell ref="A57:A60"/>
    <mergeCell ref="A61:A64"/>
    <mergeCell ref="A65:A68"/>
    <mergeCell ref="A69:A72"/>
    <mergeCell ref="A73:A76"/>
    <mergeCell ref="A77:A80"/>
    <mergeCell ref="A81:A84"/>
    <mergeCell ref="A85:A88"/>
    <mergeCell ref="A89:A92"/>
    <mergeCell ref="A93:A96"/>
    <mergeCell ref="A97:A100"/>
    <mergeCell ref="E3:F3"/>
    <mergeCell ref="A53:A56"/>
    <mergeCell ref="A9:A12"/>
    <mergeCell ref="A13:A16"/>
    <mergeCell ref="A17:A20"/>
    <mergeCell ref="A21:A24"/>
    <mergeCell ref="A25:A28"/>
    <mergeCell ref="A29:A32"/>
    <mergeCell ref="A33:A36"/>
    <mergeCell ref="A37:A40"/>
    <mergeCell ref="A41:A44"/>
    <mergeCell ref="A45:A48"/>
    <mergeCell ref="A49:A52"/>
    <mergeCell ref="A5:A8"/>
    <mergeCell ref="A3:A4"/>
    <mergeCell ref="B3:B4"/>
    <mergeCell ref="C3:C4"/>
    <mergeCell ref="D3:D4"/>
  </mergeCells>
  <phoneticPr fontId="4"/>
  <printOptions horizontalCentered="1"/>
  <pageMargins left="0.59055118110236227" right="0.59055118110236227" top="0.39370078740157483" bottom="0.19685039370078741" header="0.59055118110236227" footer="0.19685039370078741"/>
  <pageSetup paperSize="9" scale="110" orientation="portrait" r:id="rId1"/>
  <headerFooter scaleWithDoc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A3178-9A7B-441C-B809-12007A9BCDF9}">
  <sheetPr>
    <pageSetUpPr autoPageBreaks="0" fitToPage="1"/>
  </sheetPr>
  <dimension ref="A1:V52"/>
  <sheetViews>
    <sheetView showGridLines="0" view="pageBreakPreview" zoomScale="80" zoomScaleNormal="85" zoomScaleSheetLayoutView="80" workbookViewId="0"/>
  </sheetViews>
  <sheetFormatPr defaultColWidth="12.5" defaultRowHeight="22.5" customHeight="1" x14ac:dyDescent="0.15"/>
  <cols>
    <col min="1" max="1" width="23.5" style="279" customWidth="1"/>
    <col min="2" max="2" width="12.5" style="279" customWidth="1"/>
    <col min="3" max="10" width="12.5" style="279" hidden="1" customWidth="1"/>
    <col min="11" max="17" width="0" style="279" hidden="1" customWidth="1"/>
    <col min="18" max="256" width="12.5" style="279"/>
    <col min="257" max="257" width="23.5" style="279" customWidth="1"/>
    <col min="258" max="258" width="12.5" style="279"/>
    <col min="259" max="273" width="0" style="279" hidden="1" customWidth="1"/>
    <col min="274" max="512" width="12.5" style="279"/>
    <col min="513" max="513" width="23.5" style="279" customWidth="1"/>
    <col min="514" max="514" width="12.5" style="279"/>
    <col min="515" max="529" width="0" style="279" hidden="1" customWidth="1"/>
    <col min="530" max="768" width="12.5" style="279"/>
    <col min="769" max="769" width="23.5" style="279" customWidth="1"/>
    <col min="770" max="770" width="12.5" style="279"/>
    <col min="771" max="785" width="0" style="279" hidden="1" customWidth="1"/>
    <col min="786" max="1024" width="12.5" style="279"/>
    <col min="1025" max="1025" width="23.5" style="279" customWidth="1"/>
    <col min="1026" max="1026" width="12.5" style="279"/>
    <col min="1027" max="1041" width="0" style="279" hidden="1" customWidth="1"/>
    <col min="1042" max="1280" width="12.5" style="279"/>
    <col min="1281" max="1281" width="23.5" style="279" customWidth="1"/>
    <col min="1282" max="1282" width="12.5" style="279"/>
    <col min="1283" max="1297" width="0" style="279" hidden="1" customWidth="1"/>
    <col min="1298" max="1536" width="12.5" style="279"/>
    <col min="1537" max="1537" width="23.5" style="279" customWidth="1"/>
    <col min="1538" max="1538" width="12.5" style="279"/>
    <col min="1539" max="1553" width="0" style="279" hidden="1" customWidth="1"/>
    <col min="1554" max="1792" width="12.5" style="279"/>
    <col min="1793" max="1793" width="23.5" style="279" customWidth="1"/>
    <col min="1794" max="1794" width="12.5" style="279"/>
    <col min="1795" max="1809" width="0" style="279" hidden="1" customWidth="1"/>
    <col min="1810" max="2048" width="12.5" style="279"/>
    <col min="2049" max="2049" width="23.5" style="279" customWidth="1"/>
    <col min="2050" max="2050" width="12.5" style="279"/>
    <col min="2051" max="2065" width="0" style="279" hidden="1" customWidth="1"/>
    <col min="2066" max="2304" width="12.5" style="279"/>
    <col min="2305" max="2305" width="23.5" style="279" customWidth="1"/>
    <col min="2306" max="2306" width="12.5" style="279"/>
    <col min="2307" max="2321" width="0" style="279" hidden="1" customWidth="1"/>
    <col min="2322" max="2560" width="12.5" style="279"/>
    <col min="2561" max="2561" width="23.5" style="279" customWidth="1"/>
    <col min="2562" max="2562" width="12.5" style="279"/>
    <col min="2563" max="2577" width="0" style="279" hidden="1" customWidth="1"/>
    <col min="2578" max="2816" width="12.5" style="279"/>
    <col min="2817" max="2817" width="23.5" style="279" customWidth="1"/>
    <col min="2818" max="2818" width="12.5" style="279"/>
    <col min="2819" max="2833" width="0" style="279" hidden="1" customWidth="1"/>
    <col min="2834" max="3072" width="12.5" style="279"/>
    <col min="3073" max="3073" width="23.5" style="279" customWidth="1"/>
    <col min="3074" max="3074" width="12.5" style="279"/>
    <col min="3075" max="3089" width="0" style="279" hidden="1" customWidth="1"/>
    <col min="3090" max="3328" width="12.5" style="279"/>
    <col min="3329" max="3329" width="23.5" style="279" customWidth="1"/>
    <col min="3330" max="3330" width="12.5" style="279"/>
    <col min="3331" max="3345" width="0" style="279" hidden="1" customWidth="1"/>
    <col min="3346" max="3584" width="12.5" style="279"/>
    <col min="3585" max="3585" width="23.5" style="279" customWidth="1"/>
    <col min="3586" max="3586" width="12.5" style="279"/>
    <col min="3587" max="3601" width="0" style="279" hidden="1" customWidth="1"/>
    <col min="3602" max="3840" width="12.5" style="279"/>
    <col min="3841" max="3841" width="23.5" style="279" customWidth="1"/>
    <col min="3842" max="3842" width="12.5" style="279"/>
    <col min="3843" max="3857" width="0" style="279" hidden="1" customWidth="1"/>
    <col min="3858" max="4096" width="12.5" style="279"/>
    <col min="4097" max="4097" width="23.5" style="279" customWidth="1"/>
    <col min="4098" max="4098" width="12.5" style="279"/>
    <col min="4099" max="4113" width="0" style="279" hidden="1" customWidth="1"/>
    <col min="4114" max="4352" width="12.5" style="279"/>
    <col min="4353" max="4353" width="23.5" style="279" customWidth="1"/>
    <col min="4354" max="4354" width="12.5" style="279"/>
    <col min="4355" max="4369" width="0" style="279" hidden="1" customWidth="1"/>
    <col min="4370" max="4608" width="12.5" style="279"/>
    <col min="4609" max="4609" width="23.5" style="279" customWidth="1"/>
    <col min="4610" max="4610" width="12.5" style="279"/>
    <col min="4611" max="4625" width="0" style="279" hidden="1" customWidth="1"/>
    <col min="4626" max="4864" width="12.5" style="279"/>
    <col min="4865" max="4865" width="23.5" style="279" customWidth="1"/>
    <col min="4866" max="4866" width="12.5" style="279"/>
    <col min="4867" max="4881" width="0" style="279" hidden="1" customWidth="1"/>
    <col min="4882" max="5120" width="12.5" style="279"/>
    <col min="5121" max="5121" width="23.5" style="279" customWidth="1"/>
    <col min="5122" max="5122" width="12.5" style="279"/>
    <col min="5123" max="5137" width="0" style="279" hidden="1" customWidth="1"/>
    <col min="5138" max="5376" width="12.5" style="279"/>
    <col min="5377" max="5377" width="23.5" style="279" customWidth="1"/>
    <col min="5378" max="5378" width="12.5" style="279"/>
    <col min="5379" max="5393" width="0" style="279" hidden="1" customWidth="1"/>
    <col min="5394" max="5632" width="12.5" style="279"/>
    <col min="5633" max="5633" width="23.5" style="279" customWidth="1"/>
    <col min="5634" max="5634" width="12.5" style="279"/>
    <col min="5635" max="5649" width="0" style="279" hidden="1" customWidth="1"/>
    <col min="5650" max="5888" width="12.5" style="279"/>
    <col min="5889" max="5889" width="23.5" style="279" customWidth="1"/>
    <col min="5890" max="5890" width="12.5" style="279"/>
    <col min="5891" max="5905" width="0" style="279" hidden="1" customWidth="1"/>
    <col min="5906" max="6144" width="12.5" style="279"/>
    <col min="6145" max="6145" width="23.5" style="279" customWidth="1"/>
    <col min="6146" max="6146" width="12.5" style="279"/>
    <col min="6147" max="6161" width="0" style="279" hidden="1" customWidth="1"/>
    <col min="6162" max="6400" width="12.5" style="279"/>
    <col min="6401" max="6401" width="23.5" style="279" customWidth="1"/>
    <col min="6402" max="6402" width="12.5" style="279"/>
    <col min="6403" max="6417" width="0" style="279" hidden="1" customWidth="1"/>
    <col min="6418" max="6656" width="12.5" style="279"/>
    <col min="6657" max="6657" width="23.5" style="279" customWidth="1"/>
    <col min="6658" max="6658" width="12.5" style="279"/>
    <col min="6659" max="6673" width="0" style="279" hidden="1" customWidth="1"/>
    <col min="6674" max="6912" width="12.5" style="279"/>
    <col min="6913" max="6913" width="23.5" style="279" customWidth="1"/>
    <col min="6914" max="6914" width="12.5" style="279"/>
    <col min="6915" max="6929" width="0" style="279" hidden="1" customWidth="1"/>
    <col min="6930" max="7168" width="12.5" style="279"/>
    <col min="7169" max="7169" width="23.5" style="279" customWidth="1"/>
    <col min="7170" max="7170" width="12.5" style="279"/>
    <col min="7171" max="7185" width="0" style="279" hidden="1" customWidth="1"/>
    <col min="7186" max="7424" width="12.5" style="279"/>
    <col min="7425" max="7425" width="23.5" style="279" customWidth="1"/>
    <col min="7426" max="7426" width="12.5" style="279"/>
    <col min="7427" max="7441" width="0" style="279" hidden="1" customWidth="1"/>
    <col min="7442" max="7680" width="12.5" style="279"/>
    <col min="7681" max="7681" width="23.5" style="279" customWidth="1"/>
    <col min="7682" max="7682" width="12.5" style="279"/>
    <col min="7683" max="7697" width="0" style="279" hidden="1" customWidth="1"/>
    <col min="7698" max="7936" width="12.5" style="279"/>
    <col min="7937" max="7937" width="23.5" style="279" customWidth="1"/>
    <col min="7938" max="7938" width="12.5" style="279"/>
    <col min="7939" max="7953" width="0" style="279" hidden="1" customWidth="1"/>
    <col min="7954" max="8192" width="12.5" style="279"/>
    <col min="8193" max="8193" width="23.5" style="279" customWidth="1"/>
    <col min="8194" max="8194" width="12.5" style="279"/>
    <col min="8195" max="8209" width="0" style="279" hidden="1" customWidth="1"/>
    <col min="8210" max="8448" width="12.5" style="279"/>
    <col min="8449" max="8449" width="23.5" style="279" customWidth="1"/>
    <col min="8450" max="8450" width="12.5" style="279"/>
    <col min="8451" max="8465" width="0" style="279" hidden="1" customWidth="1"/>
    <col min="8466" max="8704" width="12.5" style="279"/>
    <col min="8705" max="8705" width="23.5" style="279" customWidth="1"/>
    <col min="8706" max="8706" width="12.5" style="279"/>
    <col min="8707" max="8721" width="0" style="279" hidden="1" customWidth="1"/>
    <col min="8722" max="8960" width="12.5" style="279"/>
    <col min="8961" max="8961" width="23.5" style="279" customWidth="1"/>
    <col min="8962" max="8962" width="12.5" style="279"/>
    <col min="8963" max="8977" width="0" style="279" hidden="1" customWidth="1"/>
    <col min="8978" max="9216" width="12.5" style="279"/>
    <col min="9217" max="9217" width="23.5" style="279" customWidth="1"/>
    <col min="9218" max="9218" width="12.5" style="279"/>
    <col min="9219" max="9233" width="0" style="279" hidden="1" customWidth="1"/>
    <col min="9234" max="9472" width="12.5" style="279"/>
    <col min="9473" max="9473" width="23.5" style="279" customWidth="1"/>
    <col min="9474" max="9474" width="12.5" style="279"/>
    <col min="9475" max="9489" width="0" style="279" hidden="1" customWidth="1"/>
    <col min="9490" max="9728" width="12.5" style="279"/>
    <col min="9729" max="9729" width="23.5" style="279" customWidth="1"/>
    <col min="9730" max="9730" width="12.5" style="279"/>
    <col min="9731" max="9745" width="0" style="279" hidden="1" customWidth="1"/>
    <col min="9746" max="9984" width="12.5" style="279"/>
    <col min="9985" max="9985" width="23.5" style="279" customWidth="1"/>
    <col min="9986" max="9986" width="12.5" style="279"/>
    <col min="9987" max="10001" width="0" style="279" hidden="1" customWidth="1"/>
    <col min="10002" max="10240" width="12.5" style="279"/>
    <col min="10241" max="10241" width="23.5" style="279" customWidth="1"/>
    <col min="10242" max="10242" width="12.5" style="279"/>
    <col min="10243" max="10257" width="0" style="279" hidden="1" customWidth="1"/>
    <col min="10258" max="10496" width="12.5" style="279"/>
    <col min="10497" max="10497" width="23.5" style="279" customWidth="1"/>
    <col min="10498" max="10498" width="12.5" style="279"/>
    <col min="10499" max="10513" width="0" style="279" hidden="1" customWidth="1"/>
    <col min="10514" max="10752" width="12.5" style="279"/>
    <col min="10753" max="10753" width="23.5" style="279" customWidth="1"/>
    <col min="10754" max="10754" width="12.5" style="279"/>
    <col min="10755" max="10769" width="0" style="279" hidden="1" customWidth="1"/>
    <col min="10770" max="11008" width="12.5" style="279"/>
    <col min="11009" max="11009" width="23.5" style="279" customWidth="1"/>
    <col min="11010" max="11010" width="12.5" style="279"/>
    <col min="11011" max="11025" width="0" style="279" hidden="1" customWidth="1"/>
    <col min="11026" max="11264" width="12.5" style="279"/>
    <col min="11265" max="11265" width="23.5" style="279" customWidth="1"/>
    <col min="11266" max="11266" width="12.5" style="279"/>
    <col min="11267" max="11281" width="0" style="279" hidden="1" customWidth="1"/>
    <col min="11282" max="11520" width="12.5" style="279"/>
    <col min="11521" max="11521" width="23.5" style="279" customWidth="1"/>
    <col min="11522" max="11522" width="12.5" style="279"/>
    <col min="11523" max="11537" width="0" style="279" hidden="1" customWidth="1"/>
    <col min="11538" max="11776" width="12.5" style="279"/>
    <col min="11777" max="11777" width="23.5" style="279" customWidth="1"/>
    <col min="11778" max="11778" width="12.5" style="279"/>
    <col min="11779" max="11793" width="0" style="279" hidden="1" customWidth="1"/>
    <col min="11794" max="12032" width="12.5" style="279"/>
    <col min="12033" max="12033" width="23.5" style="279" customWidth="1"/>
    <col min="12034" max="12034" width="12.5" style="279"/>
    <col min="12035" max="12049" width="0" style="279" hidden="1" customWidth="1"/>
    <col min="12050" max="12288" width="12.5" style="279"/>
    <col min="12289" max="12289" width="23.5" style="279" customWidth="1"/>
    <col min="12290" max="12290" width="12.5" style="279"/>
    <col min="12291" max="12305" width="0" style="279" hidden="1" customWidth="1"/>
    <col min="12306" max="12544" width="12.5" style="279"/>
    <col min="12545" max="12545" width="23.5" style="279" customWidth="1"/>
    <col min="12546" max="12546" width="12.5" style="279"/>
    <col min="12547" max="12561" width="0" style="279" hidden="1" customWidth="1"/>
    <col min="12562" max="12800" width="12.5" style="279"/>
    <col min="12801" max="12801" width="23.5" style="279" customWidth="1"/>
    <col min="12802" max="12802" width="12.5" style="279"/>
    <col min="12803" max="12817" width="0" style="279" hidden="1" customWidth="1"/>
    <col min="12818" max="13056" width="12.5" style="279"/>
    <col min="13057" max="13057" width="23.5" style="279" customWidth="1"/>
    <col min="13058" max="13058" width="12.5" style="279"/>
    <col min="13059" max="13073" width="0" style="279" hidden="1" customWidth="1"/>
    <col min="13074" max="13312" width="12.5" style="279"/>
    <col min="13313" max="13313" width="23.5" style="279" customWidth="1"/>
    <col min="13314" max="13314" width="12.5" style="279"/>
    <col min="13315" max="13329" width="0" style="279" hidden="1" customWidth="1"/>
    <col min="13330" max="13568" width="12.5" style="279"/>
    <col min="13569" max="13569" width="23.5" style="279" customWidth="1"/>
    <col min="13570" max="13570" width="12.5" style="279"/>
    <col min="13571" max="13585" width="0" style="279" hidden="1" customWidth="1"/>
    <col min="13586" max="13824" width="12.5" style="279"/>
    <col min="13825" max="13825" width="23.5" style="279" customWidth="1"/>
    <col min="13826" max="13826" width="12.5" style="279"/>
    <col min="13827" max="13841" width="0" style="279" hidden="1" customWidth="1"/>
    <col min="13842" max="14080" width="12.5" style="279"/>
    <col min="14081" max="14081" width="23.5" style="279" customWidth="1"/>
    <col min="14082" max="14082" width="12.5" style="279"/>
    <col min="14083" max="14097" width="0" style="279" hidden="1" customWidth="1"/>
    <col min="14098" max="14336" width="12.5" style="279"/>
    <col min="14337" max="14337" width="23.5" style="279" customWidth="1"/>
    <col min="14338" max="14338" width="12.5" style="279"/>
    <col min="14339" max="14353" width="0" style="279" hidden="1" customWidth="1"/>
    <col min="14354" max="14592" width="12.5" style="279"/>
    <col min="14593" max="14593" width="23.5" style="279" customWidth="1"/>
    <col min="14594" max="14594" width="12.5" style="279"/>
    <col min="14595" max="14609" width="0" style="279" hidden="1" customWidth="1"/>
    <col min="14610" max="14848" width="12.5" style="279"/>
    <col min="14849" max="14849" width="23.5" style="279" customWidth="1"/>
    <col min="14850" max="14850" width="12.5" style="279"/>
    <col min="14851" max="14865" width="0" style="279" hidden="1" customWidth="1"/>
    <col min="14866" max="15104" width="12.5" style="279"/>
    <col min="15105" max="15105" width="23.5" style="279" customWidth="1"/>
    <col min="15106" max="15106" width="12.5" style="279"/>
    <col min="15107" max="15121" width="0" style="279" hidden="1" customWidth="1"/>
    <col min="15122" max="15360" width="12.5" style="279"/>
    <col min="15361" max="15361" width="23.5" style="279" customWidth="1"/>
    <col min="15362" max="15362" width="12.5" style="279"/>
    <col min="15363" max="15377" width="0" style="279" hidden="1" customWidth="1"/>
    <col min="15378" max="15616" width="12.5" style="279"/>
    <col min="15617" max="15617" width="23.5" style="279" customWidth="1"/>
    <col min="15618" max="15618" width="12.5" style="279"/>
    <col min="15619" max="15633" width="0" style="279" hidden="1" customWidth="1"/>
    <col min="15634" max="15872" width="12.5" style="279"/>
    <col min="15873" max="15873" width="23.5" style="279" customWidth="1"/>
    <col min="15874" max="15874" width="12.5" style="279"/>
    <col min="15875" max="15889" width="0" style="279" hidden="1" customWidth="1"/>
    <col min="15890" max="16128" width="12.5" style="279"/>
    <col min="16129" max="16129" width="23.5" style="279" customWidth="1"/>
    <col min="16130" max="16130" width="12.5" style="279"/>
    <col min="16131" max="16145" width="0" style="279" hidden="1" customWidth="1"/>
    <col min="16146" max="16384" width="12.5" style="279"/>
  </cols>
  <sheetData>
    <row r="1" spans="1:22" ht="23.25" customHeight="1" x14ac:dyDescent="0.2">
      <c r="A1" s="276" t="s">
        <v>179</v>
      </c>
      <c r="B1" s="277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</row>
    <row r="2" spans="1:22" ht="23.25" customHeight="1" thickBot="1" x14ac:dyDescent="0.2">
      <c r="A2" s="278"/>
      <c r="B2" s="278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 t="s">
        <v>180</v>
      </c>
    </row>
    <row r="3" spans="1:22" ht="20.25" customHeight="1" x14ac:dyDescent="0.15">
      <c r="A3" s="281" t="s">
        <v>181</v>
      </c>
      <c r="B3" s="282" t="s">
        <v>62</v>
      </c>
      <c r="C3" s="282" t="s">
        <v>4</v>
      </c>
      <c r="D3" s="282" t="s">
        <v>88</v>
      </c>
      <c r="E3" s="282" t="s">
        <v>6</v>
      </c>
      <c r="F3" s="283" t="s">
        <v>7</v>
      </c>
      <c r="G3" s="283" t="s">
        <v>8</v>
      </c>
      <c r="H3" s="283" t="s">
        <v>9</v>
      </c>
      <c r="I3" s="283" t="s">
        <v>10</v>
      </c>
      <c r="J3" s="282" t="s">
        <v>11</v>
      </c>
      <c r="K3" s="282" t="s">
        <v>163</v>
      </c>
      <c r="L3" s="284" t="s">
        <v>13</v>
      </c>
      <c r="M3" s="284" t="s">
        <v>35</v>
      </c>
      <c r="N3" s="284" t="s">
        <v>133</v>
      </c>
      <c r="O3" s="284" t="s">
        <v>37</v>
      </c>
      <c r="P3" s="285" t="s">
        <v>38</v>
      </c>
      <c r="Q3" s="286" t="s">
        <v>39</v>
      </c>
      <c r="R3" s="286" t="s">
        <v>134</v>
      </c>
      <c r="S3" s="286" t="s">
        <v>41</v>
      </c>
      <c r="T3" s="286" t="s">
        <v>42</v>
      </c>
      <c r="U3" s="284" t="s">
        <v>43</v>
      </c>
      <c r="V3" s="287" t="s">
        <v>44</v>
      </c>
    </row>
    <row r="4" spans="1:22" ht="20.25" customHeight="1" x14ac:dyDescent="0.15">
      <c r="A4" s="796" t="s">
        <v>182</v>
      </c>
      <c r="B4" s="288" t="s">
        <v>183</v>
      </c>
      <c r="C4" s="289">
        <v>588167</v>
      </c>
      <c r="D4" s="289">
        <v>600041</v>
      </c>
      <c r="E4" s="289">
        <v>641371</v>
      </c>
      <c r="F4" s="290">
        <v>617789</v>
      </c>
      <c r="G4" s="290">
        <v>627755</v>
      </c>
      <c r="H4" s="290">
        <v>618923</v>
      </c>
      <c r="I4" s="290">
        <v>601729</v>
      </c>
      <c r="J4" s="289">
        <v>518313</v>
      </c>
      <c r="K4" s="289">
        <v>471050</v>
      </c>
      <c r="L4" s="291">
        <v>433011</v>
      </c>
      <c r="M4" s="291">
        <v>442387</v>
      </c>
      <c r="N4" s="292">
        <v>453148</v>
      </c>
      <c r="O4" s="292">
        <v>448909</v>
      </c>
      <c r="P4" s="293">
        <v>438287</v>
      </c>
      <c r="Q4" s="291">
        <v>441634</v>
      </c>
      <c r="R4" s="291">
        <v>455869</v>
      </c>
      <c r="S4" s="291">
        <v>469212</v>
      </c>
      <c r="T4" s="291">
        <v>476423</v>
      </c>
      <c r="U4" s="292">
        <v>440296</v>
      </c>
      <c r="V4" s="294">
        <v>415326</v>
      </c>
    </row>
    <row r="5" spans="1:22" ht="20.25" customHeight="1" x14ac:dyDescent="0.15">
      <c r="A5" s="797"/>
      <c r="B5" s="295" t="s">
        <v>30</v>
      </c>
      <c r="C5" s="296">
        <v>100</v>
      </c>
      <c r="D5" s="296">
        <f>ROUND((D4/C4)*100,1)</f>
        <v>102</v>
      </c>
      <c r="E5" s="296">
        <f t="shared" ref="E5:V5" si="0">ROUND((E4/D4)*100,1)</f>
        <v>106.9</v>
      </c>
      <c r="F5" s="297">
        <f t="shared" si="0"/>
        <v>96.3</v>
      </c>
      <c r="G5" s="297">
        <f t="shared" si="0"/>
        <v>101.6</v>
      </c>
      <c r="H5" s="297">
        <f t="shared" si="0"/>
        <v>98.6</v>
      </c>
      <c r="I5" s="297">
        <f t="shared" si="0"/>
        <v>97.2</v>
      </c>
      <c r="J5" s="296">
        <f t="shared" si="0"/>
        <v>86.1</v>
      </c>
      <c r="K5" s="296">
        <f t="shared" si="0"/>
        <v>90.9</v>
      </c>
      <c r="L5" s="296">
        <f t="shared" si="0"/>
        <v>91.9</v>
      </c>
      <c r="M5" s="296">
        <f t="shared" si="0"/>
        <v>102.2</v>
      </c>
      <c r="N5" s="298">
        <f t="shared" si="0"/>
        <v>102.4</v>
      </c>
      <c r="O5" s="298">
        <f t="shared" si="0"/>
        <v>99.1</v>
      </c>
      <c r="P5" s="299">
        <f t="shared" si="0"/>
        <v>97.6</v>
      </c>
      <c r="Q5" s="300">
        <f t="shared" si="0"/>
        <v>100.8</v>
      </c>
      <c r="R5" s="300">
        <f t="shared" si="0"/>
        <v>103.2</v>
      </c>
      <c r="S5" s="300">
        <f t="shared" si="0"/>
        <v>102.9</v>
      </c>
      <c r="T5" s="300">
        <f t="shared" si="0"/>
        <v>101.5</v>
      </c>
      <c r="U5" s="298">
        <f t="shared" si="0"/>
        <v>92.4</v>
      </c>
      <c r="V5" s="301">
        <f t="shared" si="0"/>
        <v>94.3</v>
      </c>
    </row>
    <row r="6" spans="1:22" ht="20.25" customHeight="1" x14ac:dyDescent="0.15">
      <c r="A6" s="797"/>
      <c r="B6" s="295" t="s">
        <v>184</v>
      </c>
      <c r="C6" s="302">
        <v>270657</v>
      </c>
      <c r="D6" s="302">
        <v>285936</v>
      </c>
      <c r="E6" s="302">
        <v>285874</v>
      </c>
      <c r="F6" s="303">
        <v>285266</v>
      </c>
      <c r="G6" s="303">
        <v>293130</v>
      </c>
      <c r="H6" s="303">
        <v>278930</v>
      </c>
      <c r="I6" s="303">
        <v>281897</v>
      </c>
      <c r="J6" s="302">
        <v>248330</v>
      </c>
      <c r="K6" s="292">
        <v>205206</v>
      </c>
      <c r="L6" s="291">
        <v>196276</v>
      </c>
      <c r="M6" s="291">
        <v>200716</v>
      </c>
      <c r="N6" s="302">
        <v>202511</v>
      </c>
      <c r="O6" s="302">
        <v>207442</v>
      </c>
      <c r="P6" s="304">
        <v>207553</v>
      </c>
      <c r="Q6" s="303">
        <v>206194</v>
      </c>
      <c r="R6" s="303">
        <v>220246</v>
      </c>
      <c r="S6" s="303">
        <v>229755</v>
      </c>
      <c r="T6" s="303">
        <v>228687</v>
      </c>
      <c r="U6" s="302">
        <v>222466</v>
      </c>
      <c r="V6" s="305">
        <v>216552</v>
      </c>
    </row>
    <row r="7" spans="1:22" ht="20.25" customHeight="1" x14ac:dyDescent="0.15">
      <c r="A7" s="798"/>
      <c r="B7" s="306" t="s">
        <v>30</v>
      </c>
      <c r="C7" s="307">
        <v>106.4</v>
      </c>
      <c r="D7" s="307">
        <f>ROUND((D6/C6)*100,1)</f>
        <v>105.6</v>
      </c>
      <c r="E7" s="307">
        <f t="shared" ref="E7:V7" si="1">ROUND((E6/D6)*100,1)</f>
        <v>100</v>
      </c>
      <c r="F7" s="308">
        <f t="shared" si="1"/>
        <v>99.8</v>
      </c>
      <c r="G7" s="308">
        <f t="shared" si="1"/>
        <v>102.8</v>
      </c>
      <c r="H7" s="308">
        <f t="shared" si="1"/>
        <v>95.2</v>
      </c>
      <c r="I7" s="308">
        <f t="shared" si="1"/>
        <v>101.1</v>
      </c>
      <c r="J7" s="307">
        <f t="shared" si="1"/>
        <v>88.1</v>
      </c>
      <c r="K7" s="307">
        <f t="shared" si="1"/>
        <v>82.6</v>
      </c>
      <c r="L7" s="307">
        <f t="shared" si="1"/>
        <v>95.6</v>
      </c>
      <c r="M7" s="307">
        <f t="shared" si="1"/>
        <v>102.3</v>
      </c>
      <c r="N7" s="309">
        <f t="shared" si="1"/>
        <v>100.9</v>
      </c>
      <c r="O7" s="309">
        <f t="shared" si="1"/>
        <v>102.4</v>
      </c>
      <c r="P7" s="310">
        <f t="shared" si="1"/>
        <v>100.1</v>
      </c>
      <c r="Q7" s="311">
        <f t="shared" si="1"/>
        <v>99.3</v>
      </c>
      <c r="R7" s="311">
        <f t="shared" si="1"/>
        <v>106.8</v>
      </c>
      <c r="S7" s="311">
        <f t="shared" si="1"/>
        <v>104.3</v>
      </c>
      <c r="T7" s="311">
        <f t="shared" si="1"/>
        <v>99.5</v>
      </c>
      <c r="U7" s="309">
        <f t="shared" si="1"/>
        <v>97.3</v>
      </c>
      <c r="V7" s="312">
        <f t="shared" si="1"/>
        <v>97.3</v>
      </c>
    </row>
    <row r="8" spans="1:22" ht="20.25" customHeight="1" x14ac:dyDescent="0.15">
      <c r="A8" s="799" t="s">
        <v>185</v>
      </c>
      <c r="B8" s="313" t="s">
        <v>183</v>
      </c>
      <c r="C8" s="289">
        <v>469393</v>
      </c>
      <c r="D8" s="289">
        <v>453894</v>
      </c>
      <c r="E8" s="289">
        <v>449865</v>
      </c>
      <c r="F8" s="290">
        <v>437065</v>
      </c>
      <c r="G8" s="290">
        <v>401811</v>
      </c>
      <c r="H8" s="290">
        <v>362708</v>
      </c>
      <c r="I8" s="290">
        <v>303714</v>
      </c>
      <c r="J8" s="289">
        <v>247280</v>
      </c>
      <c r="K8" s="289">
        <v>169549</v>
      </c>
      <c r="L8" s="291">
        <v>153237</v>
      </c>
      <c r="M8" s="291">
        <v>112811</v>
      </c>
      <c r="N8" s="292">
        <v>137898</v>
      </c>
      <c r="O8" s="292">
        <v>130132</v>
      </c>
      <c r="P8" s="293">
        <v>147933</v>
      </c>
      <c r="Q8" s="291">
        <v>124027</v>
      </c>
      <c r="R8" s="291">
        <v>123855</v>
      </c>
      <c r="S8" s="291">
        <v>123477</v>
      </c>
      <c r="T8" s="291">
        <v>167498</v>
      </c>
      <c r="U8" s="292">
        <v>168696</v>
      </c>
      <c r="V8" s="294">
        <v>181709</v>
      </c>
    </row>
    <row r="9" spans="1:22" ht="20.25" customHeight="1" x14ac:dyDescent="0.15">
      <c r="A9" s="800"/>
      <c r="B9" s="314" t="s">
        <v>30</v>
      </c>
      <c r="C9" s="296">
        <v>95.7</v>
      </c>
      <c r="D9" s="296">
        <f>ROUND((D8/C8)*100,1)</f>
        <v>96.7</v>
      </c>
      <c r="E9" s="296">
        <f t="shared" ref="E9:V9" si="2">ROUND((E8/D8)*100,1)</f>
        <v>99.1</v>
      </c>
      <c r="F9" s="297">
        <f t="shared" si="2"/>
        <v>97.2</v>
      </c>
      <c r="G9" s="297">
        <f t="shared" si="2"/>
        <v>91.9</v>
      </c>
      <c r="H9" s="297">
        <f t="shared" si="2"/>
        <v>90.3</v>
      </c>
      <c r="I9" s="297">
        <f t="shared" si="2"/>
        <v>83.7</v>
      </c>
      <c r="J9" s="296">
        <f t="shared" si="2"/>
        <v>81.400000000000006</v>
      </c>
      <c r="K9" s="296">
        <f t="shared" si="2"/>
        <v>68.599999999999994</v>
      </c>
      <c r="L9" s="296">
        <f t="shared" si="2"/>
        <v>90.4</v>
      </c>
      <c r="M9" s="296">
        <f t="shared" si="2"/>
        <v>73.599999999999994</v>
      </c>
      <c r="N9" s="298">
        <f t="shared" si="2"/>
        <v>122.2</v>
      </c>
      <c r="O9" s="298">
        <f t="shared" si="2"/>
        <v>94.4</v>
      </c>
      <c r="P9" s="299">
        <f t="shared" si="2"/>
        <v>113.7</v>
      </c>
      <c r="Q9" s="300">
        <f t="shared" si="2"/>
        <v>83.8</v>
      </c>
      <c r="R9" s="300">
        <f t="shared" si="2"/>
        <v>99.9</v>
      </c>
      <c r="S9" s="300">
        <f t="shared" si="2"/>
        <v>99.7</v>
      </c>
      <c r="T9" s="300">
        <f t="shared" si="2"/>
        <v>135.69999999999999</v>
      </c>
      <c r="U9" s="298">
        <f t="shared" si="2"/>
        <v>100.7</v>
      </c>
      <c r="V9" s="301">
        <f t="shared" si="2"/>
        <v>107.7</v>
      </c>
    </row>
    <row r="10" spans="1:22" ht="20.25" customHeight="1" x14ac:dyDescent="0.15">
      <c r="A10" s="800"/>
      <c r="B10" s="314" t="s">
        <v>184</v>
      </c>
      <c r="C10" s="302">
        <v>270907</v>
      </c>
      <c r="D10" s="302">
        <v>270018</v>
      </c>
      <c r="E10" s="302">
        <v>238635</v>
      </c>
      <c r="F10" s="303">
        <v>238670</v>
      </c>
      <c r="G10" s="303">
        <v>226964</v>
      </c>
      <c r="H10" s="303">
        <v>201914</v>
      </c>
      <c r="I10" s="303">
        <v>174085</v>
      </c>
      <c r="J10" s="302">
        <v>146848</v>
      </c>
      <c r="K10" s="302">
        <v>90747</v>
      </c>
      <c r="L10" s="303">
        <v>91151</v>
      </c>
      <c r="M10" s="303">
        <v>69550</v>
      </c>
      <c r="N10" s="302">
        <v>84011</v>
      </c>
      <c r="O10" s="302">
        <v>82059</v>
      </c>
      <c r="P10" s="304">
        <v>95991</v>
      </c>
      <c r="Q10" s="303">
        <v>78697</v>
      </c>
      <c r="R10" s="303">
        <v>81039</v>
      </c>
      <c r="S10" s="303">
        <v>88404</v>
      </c>
      <c r="T10" s="303">
        <v>114545</v>
      </c>
      <c r="U10" s="302">
        <v>129809</v>
      </c>
      <c r="V10" s="305">
        <v>143503</v>
      </c>
    </row>
    <row r="11" spans="1:22" ht="20.25" customHeight="1" x14ac:dyDescent="0.15">
      <c r="A11" s="801"/>
      <c r="B11" s="315" t="s">
        <v>30</v>
      </c>
      <c r="C11" s="307">
        <v>102.6</v>
      </c>
      <c r="D11" s="307">
        <f>ROUND((D10/C10)*100,1)</f>
        <v>99.7</v>
      </c>
      <c r="E11" s="307">
        <f t="shared" ref="E11:V11" si="3">ROUND((E10/D10)*100,1)</f>
        <v>88.4</v>
      </c>
      <c r="F11" s="308">
        <f t="shared" si="3"/>
        <v>100</v>
      </c>
      <c r="G11" s="308">
        <f t="shared" si="3"/>
        <v>95.1</v>
      </c>
      <c r="H11" s="308">
        <f t="shared" si="3"/>
        <v>89</v>
      </c>
      <c r="I11" s="308">
        <f t="shared" si="3"/>
        <v>86.2</v>
      </c>
      <c r="J11" s="307">
        <f t="shared" si="3"/>
        <v>84.4</v>
      </c>
      <c r="K11" s="307">
        <f t="shared" si="3"/>
        <v>61.8</v>
      </c>
      <c r="L11" s="307">
        <f t="shared" si="3"/>
        <v>100.4</v>
      </c>
      <c r="M11" s="307">
        <f t="shared" si="3"/>
        <v>76.3</v>
      </c>
      <c r="N11" s="309">
        <f t="shared" si="3"/>
        <v>120.8</v>
      </c>
      <c r="O11" s="309">
        <f t="shared" si="3"/>
        <v>97.7</v>
      </c>
      <c r="P11" s="310">
        <f t="shared" si="3"/>
        <v>117</v>
      </c>
      <c r="Q11" s="311">
        <f t="shared" si="3"/>
        <v>82</v>
      </c>
      <c r="R11" s="311">
        <f t="shared" si="3"/>
        <v>103</v>
      </c>
      <c r="S11" s="311">
        <f t="shared" si="3"/>
        <v>109.1</v>
      </c>
      <c r="T11" s="311">
        <f t="shared" si="3"/>
        <v>129.6</v>
      </c>
      <c r="U11" s="309">
        <f t="shared" si="3"/>
        <v>113.3</v>
      </c>
      <c r="V11" s="312">
        <f t="shared" si="3"/>
        <v>110.5</v>
      </c>
    </row>
    <row r="12" spans="1:22" ht="20.25" customHeight="1" x14ac:dyDescent="0.15">
      <c r="A12" s="796" t="s">
        <v>186</v>
      </c>
      <c r="B12" s="288" t="s">
        <v>183</v>
      </c>
      <c r="C12" s="289">
        <v>469393</v>
      </c>
      <c r="D12" s="289">
        <v>453894</v>
      </c>
      <c r="E12" s="289">
        <v>449865</v>
      </c>
      <c r="F12" s="316" t="s">
        <v>164</v>
      </c>
      <c r="G12" s="316" t="s">
        <v>164</v>
      </c>
      <c r="H12" s="316" t="s">
        <v>164</v>
      </c>
      <c r="I12" s="290">
        <v>9035</v>
      </c>
      <c r="J12" s="289">
        <v>62744</v>
      </c>
      <c r="K12" s="289">
        <v>126160</v>
      </c>
      <c r="L12" s="291">
        <v>178907</v>
      </c>
      <c r="M12" s="291">
        <v>243065</v>
      </c>
      <c r="N12" s="292">
        <v>300607</v>
      </c>
      <c r="O12" s="292">
        <v>310741</v>
      </c>
      <c r="P12" s="293">
        <v>308204</v>
      </c>
      <c r="Q12" s="291">
        <v>317070</v>
      </c>
      <c r="R12" s="291">
        <v>323521</v>
      </c>
      <c r="S12" s="291">
        <v>321652</v>
      </c>
      <c r="T12" s="291">
        <v>320034</v>
      </c>
      <c r="U12" s="292">
        <v>319876</v>
      </c>
      <c r="V12" s="294">
        <v>332706</v>
      </c>
    </row>
    <row r="13" spans="1:22" ht="20.25" customHeight="1" x14ac:dyDescent="0.15">
      <c r="A13" s="797"/>
      <c r="B13" s="295" t="s">
        <v>30</v>
      </c>
      <c r="C13" s="296">
        <v>95.7</v>
      </c>
      <c r="D13" s="296">
        <f>ROUND((D12/C12)*100,1)</f>
        <v>96.7</v>
      </c>
      <c r="E13" s="296">
        <f>ROUND((E12/D12)*100,1)</f>
        <v>99.1</v>
      </c>
      <c r="F13" s="317" t="s">
        <v>164</v>
      </c>
      <c r="G13" s="317" t="s">
        <v>164</v>
      </c>
      <c r="H13" s="317" t="s">
        <v>164</v>
      </c>
      <c r="I13" s="317" t="s">
        <v>165</v>
      </c>
      <c r="J13" s="296">
        <f t="shared" ref="J13:V13" si="4">ROUND((J12/I12)*100,1)</f>
        <v>694.5</v>
      </c>
      <c r="K13" s="296">
        <f t="shared" si="4"/>
        <v>201.1</v>
      </c>
      <c r="L13" s="296">
        <f t="shared" si="4"/>
        <v>141.80000000000001</v>
      </c>
      <c r="M13" s="296">
        <f t="shared" si="4"/>
        <v>135.9</v>
      </c>
      <c r="N13" s="298">
        <f t="shared" si="4"/>
        <v>123.7</v>
      </c>
      <c r="O13" s="298">
        <f t="shared" si="4"/>
        <v>103.4</v>
      </c>
      <c r="P13" s="299">
        <f t="shared" si="4"/>
        <v>99.2</v>
      </c>
      <c r="Q13" s="300">
        <f t="shared" si="4"/>
        <v>102.9</v>
      </c>
      <c r="R13" s="300">
        <f t="shared" si="4"/>
        <v>102</v>
      </c>
      <c r="S13" s="300">
        <f t="shared" si="4"/>
        <v>99.4</v>
      </c>
      <c r="T13" s="300">
        <f t="shared" si="4"/>
        <v>99.5</v>
      </c>
      <c r="U13" s="298">
        <f t="shared" si="4"/>
        <v>100</v>
      </c>
      <c r="V13" s="301">
        <f t="shared" si="4"/>
        <v>104</v>
      </c>
    </row>
    <row r="14" spans="1:22" ht="20.25" customHeight="1" x14ac:dyDescent="0.15">
      <c r="A14" s="797"/>
      <c r="B14" s="295" t="s">
        <v>184</v>
      </c>
      <c r="C14" s="302">
        <v>270907</v>
      </c>
      <c r="D14" s="302">
        <v>270018</v>
      </c>
      <c r="E14" s="302">
        <v>238635</v>
      </c>
      <c r="F14" s="318" t="s">
        <v>164</v>
      </c>
      <c r="G14" s="318" t="s">
        <v>164</v>
      </c>
      <c r="H14" s="318" t="s">
        <v>164</v>
      </c>
      <c r="I14" s="303">
        <v>4601</v>
      </c>
      <c r="J14" s="302">
        <v>31887</v>
      </c>
      <c r="K14" s="302">
        <v>59409</v>
      </c>
      <c r="L14" s="303">
        <v>85209</v>
      </c>
      <c r="M14" s="303">
        <v>116220</v>
      </c>
      <c r="N14" s="302">
        <v>138141</v>
      </c>
      <c r="O14" s="302">
        <v>147431</v>
      </c>
      <c r="P14" s="304">
        <v>151146</v>
      </c>
      <c r="Q14" s="303">
        <v>151479</v>
      </c>
      <c r="R14" s="303">
        <v>160968</v>
      </c>
      <c r="S14" s="303">
        <v>165247</v>
      </c>
      <c r="T14" s="303">
        <v>161241</v>
      </c>
      <c r="U14" s="302">
        <v>167299</v>
      </c>
      <c r="V14" s="305">
        <v>179597</v>
      </c>
    </row>
    <row r="15" spans="1:22" ht="20.25" customHeight="1" x14ac:dyDescent="0.15">
      <c r="A15" s="798"/>
      <c r="B15" s="306" t="s">
        <v>30</v>
      </c>
      <c r="C15" s="307">
        <v>102.6</v>
      </c>
      <c r="D15" s="307">
        <f>ROUND((D14/C14)*100,1)</f>
        <v>99.7</v>
      </c>
      <c r="E15" s="307">
        <f>ROUND((E14/D14)*100,1)</f>
        <v>88.4</v>
      </c>
      <c r="F15" s="319" t="s">
        <v>165</v>
      </c>
      <c r="G15" s="319" t="s">
        <v>165</v>
      </c>
      <c r="H15" s="319" t="s">
        <v>165</v>
      </c>
      <c r="I15" s="319" t="s">
        <v>165</v>
      </c>
      <c r="J15" s="307">
        <f t="shared" ref="J15:V15" si="5">ROUND((J14/I14)*100,1)</f>
        <v>693</v>
      </c>
      <c r="K15" s="307">
        <f t="shared" si="5"/>
        <v>186.3</v>
      </c>
      <c r="L15" s="307">
        <f t="shared" si="5"/>
        <v>143.4</v>
      </c>
      <c r="M15" s="307">
        <f t="shared" si="5"/>
        <v>136.4</v>
      </c>
      <c r="N15" s="309">
        <f t="shared" si="5"/>
        <v>118.9</v>
      </c>
      <c r="O15" s="309">
        <f t="shared" si="5"/>
        <v>106.7</v>
      </c>
      <c r="P15" s="310">
        <f t="shared" si="5"/>
        <v>102.5</v>
      </c>
      <c r="Q15" s="311">
        <f t="shared" si="5"/>
        <v>100.2</v>
      </c>
      <c r="R15" s="311">
        <f t="shared" si="5"/>
        <v>106.3</v>
      </c>
      <c r="S15" s="311">
        <f t="shared" si="5"/>
        <v>102.7</v>
      </c>
      <c r="T15" s="311">
        <f t="shared" si="5"/>
        <v>97.6</v>
      </c>
      <c r="U15" s="309">
        <f t="shared" si="5"/>
        <v>103.8</v>
      </c>
      <c r="V15" s="312">
        <f t="shared" si="5"/>
        <v>107.4</v>
      </c>
    </row>
    <row r="16" spans="1:22" ht="20.25" customHeight="1" x14ac:dyDescent="0.15">
      <c r="A16" s="796" t="s">
        <v>187</v>
      </c>
      <c r="B16" s="288" t="s">
        <v>183</v>
      </c>
      <c r="C16" s="289">
        <v>469393</v>
      </c>
      <c r="D16" s="289">
        <v>453894</v>
      </c>
      <c r="E16" s="289">
        <v>449865</v>
      </c>
      <c r="F16" s="316" t="s">
        <v>164</v>
      </c>
      <c r="G16" s="316" t="s">
        <v>164</v>
      </c>
      <c r="H16" s="316" t="s">
        <v>164</v>
      </c>
      <c r="I16" s="290">
        <v>238</v>
      </c>
      <c r="J16" s="289">
        <v>1798</v>
      </c>
      <c r="K16" s="289">
        <v>3897</v>
      </c>
      <c r="L16" s="291">
        <v>5653</v>
      </c>
      <c r="M16" s="291">
        <v>6602</v>
      </c>
      <c r="N16" s="292">
        <v>7871</v>
      </c>
      <c r="O16" s="292">
        <v>9137</v>
      </c>
      <c r="P16" s="293">
        <v>10507</v>
      </c>
      <c r="Q16" s="291">
        <v>10131</v>
      </c>
      <c r="R16" s="291">
        <v>9352</v>
      </c>
      <c r="S16" s="291">
        <v>8676</v>
      </c>
      <c r="T16" s="291">
        <v>8322</v>
      </c>
      <c r="U16" s="292">
        <v>8362</v>
      </c>
      <c r="V16" s="294">
        <v>8754</v>
      </c>
    </row>
    <row r="17" spans="1:22" ht="20.25" customHeight="1" x14ac:dyDescent="0.15">
      <c r="A17" s="797"/>
      <c r="B17" s="295" t="s">
        <v>30</v>
      </c>
      <c r="C17" s="296">
        <v>95.7</v>
      </c>
      <c r="D17" s="296">
        <f>ROUND((D16/C16)*100,1)</f>
        <v>96.7</v>
      </c>
      <c r="E17" s="296">
        <f>ROUND((E16/D16)*100,1)</f>
        <v>99.1</v>
      </c>
      <c r="F17" s="317" t="s">
        <v>165</v>
      </c>
      <c r="G17" s="317" t="s">
        <v>165</v>
      </c>
      <c r="H17" s="317" t="s">
        <v>165</v>
      </c>
      <c r="I17" s="317" t="s">
        <v>165</v>
      </c>
      <c r="J17" s="296">
        <f t="shared" ref="J17:V17" si="6">ROUND((J16/I16)*100,1)</f>
        <v>755.5</v>
      </c>
      <c r="K17" s="296">
        <f t="shared" si="6"/>
        <v>216.7</v>
      </c>
      <c r="L17" s="296">
        <f t="shared" si="6"/>
        <v>145.1</v>
      </c>
      <c r="M17" s="296">
        <f t="shared" si="6"/>
        <v>116.8</v>
      </c>
      <c r="N17" s="298">
        <f t="shared" si="6"/>
        <v>119.2</v>
      </c>
      <c r="O17" s="298">
        <f t="shared" si="6"/>
        <v>116.1</v>
      </c>
      <c r="P17" s="299">
        <f t="shared" si="6"/>
        <v>115</v>
      </c>
      <c r="Q17" s="300">
        <f t="shared" si="6"/>
        <v>96.4</v>
      </c>
      <c r="R17" s="300">
        <f t="shared" si="6"/>
        <v>92.3</v>
      </c>
      <c r="S17" s="300">
        <f t="shared" si="6"/>
        <v>92.8</v>
      </c>
      <c r="T17" s="300">
        <f t="shared" si="6"/>
        <v>95.9</v>
      </c>
      <c r="U17" s="298">
        <f t="shared" si="6"/>
        <v>100.5</v>
      </c>
      <c r="V17" s="301">
        <f t="shared" si="6"/>
        <v>104.7</v>
      </c>
    </row>
    <row r="18" spans="1:22" ht="20.25" customHeight="1" x14ac:dyDescent="0.15">
      <c r="A18" s="797"/>
      <c r="B18" s="295" t="s">
        <v>184</v>
      </c>
      <c r="C18" s="302">
        <v>270907</v>
      </c>
      <c r="D18" s="302">
        <v>270018</v>
      </c>
      <c r="E18" s="302">
        <v>238635</v>
      </c>
      <c r="F18" s="318" t="s">
        <v>164</v>
      </c>
      <c r="G18" s="318" t="s">
        <v>164</v>
      </c>
      <c r="H18" s="318" t="s">
        <v>164</v>
      </c>
      <c r="I18" s="303">
        <v>132</v>
      </c>
      <c r="J18" s="302">
        <v>930</v>
      </c>
      <c r="K18" s="302">
        <v>1932</v>
      </c>
      <c r="L18" s="303">
        <v>2855</v>
      </c>
      <c r="M18" s="303">
        <v>3347</v>
      </c>
      <c r="N18" s="302">
        <v>3747</v>
      </c>
      <c r="O18" s="302">
        <v>4433</v>
      </c>
      <c r="P18" s="304">
        <v>5226</v>
      </c>
      <c r="Q18" s="303">
        <v>4988</v>
      </c>
      <c r="R18" s="303">
        <v>4775</v>
      </c>
      <c r="S18" s="303">
        <v>4553</v>
      </c>
      <c r="T18" s="303">
        <v>4228</v>
      </c>
      <c r="U18" s="302">
        <v>4437</v>
      </c>
      <c r="V18" s="305">
        <v>4840</v>
      </c>
    </row>
    <row r="19" spans="1:22" ht="20.25" customHeight="1" x14ac:dyDescent="0.15">
      <c r="A19" s="798"/>
      <c r="B19" s="306" t="s">
        <v>30</v>
      </c>
      <c r="C19" s="307">
        <v>102.6</v>
      </c>
      <c r="D19" s="307">
        <f>ROUND((D18/C18)*100,1)</f>
        <v>99.7</v>
      </c>
      <c r="E19" s="307">
        <f>ROUND((E18/D18)*100,1)</f>
        <v>88.4</v>
      </c>
      <c r="F19" s="319" t="s">
        <v>164</v>
      </c>
      <c r="G19" s="319" t="s">
        <v>165</v>
      </c>
      <c r="H19" s="319" t="s">
        <v>165</v>
      </c>
      <c r="I19" s="319" t="s">
        <v>165</v>
      </c>
      <c r="J19" s="307">
        <f t="shared" ref="J19:V19" si="7">ROUND((J18/I18)*100,1)</f>
        <v>704.5</v>
      </c>
      <c r="K19" s="307">
        <f t="shared" si="7"/>
        <v>207.7</v>
      </c>
      <c r="L19" s="307">
        <f t="shared" si="7"/>
        <v>147.80000000000001</v>
      </c>
      <c r="M19" s="307">
        <f t="shared" si="7"/>
        <v>117.2</v>
      </c>
      <c r="N19" s="309">
        <f t="shared" si="7"/>
        <v>112</v>
      </c>
      <c r="O19" s="309">
        <f t="shared" si="7"/>
        <v>118.3</v>
      </c>
      <c r="P19" s="310">
        <f t="shared" si="7"/>
        <v>117.9</v>
      </c>
      <c r="Q19" s="311">
        <f t="shared" si="7"/>
        <v>95.4</v>
      </c>
      <c r="R19" s="311">
        <f t="shared" si="7"/>
        <v>95.7</v>
      </c>
      <c r="S19" s="311">
        <f t="shared" si="7"/>
        <v>95.4</v>
      </c>
      <c r="T19" s="311">
        <f t="shared" si="7"/>
        <v>92.9</v>
      </c>
      <c r="U19" s="309">
        <f t="shared" si="7"/>
        <v>104.9</v>
      </c>
      <c r="V19" s="312">
        <f t="shared" si="7"/>
        <v>109.1</v>
      </c>
    </row>
    <row r="20" spans="1:22" ht="20.25" customHeight="1" x14ac:dyDescent="0.15">
      <c r="A20" s="799" t="s">
        <v>188</v>
      </c>
      <c r="B20" s="288" t="s">
        <v>189</v>
      </c>
      <c r="C20" s="320"/>
      <c r="D20" s="320"/>
      <c r="E20" s="320"/>
      <c r="F20" s="321"/>
      <c r="G20" s="321"/>
      <c r="H20" s="321" t="s">
        <v>164</v>
      </c>
      <c r="I20" s="321" t="s">
        <v>164</v>
      </c>
      <c r="J20" s="322" t="s">
        <v>164</v>
      </c>
      <c r="K20" s="322" t="s">
        <v>164</v>
      </c>
      <c r="L20" s="290">
        <v>7393</v>
      </c>
      <c r="M20" s="290">
        <v>7488</v>
      </c>
      <c r="N20" s="289">
        <f>1214+6274</f>
        <v>7488</v>
      </c>
      <c r="O20" s="289">
        <v>7488</v>
      </c>
      <c r="P20" s="323">
        <f>1214+6274</f>
        <v>7488</v>
      </c>
      <c r="Q20" s="316" t="s">
        <v>165</v>
      </c>
      <c r="R20" s="324" t="s">
        <v>165</v>
      </c>
      <c r="S20" s="324" t="s">
        <v>165</v>
      </c>
      <c r="T20" s="324" t="s">
        <v>165</v>
      </c>
      <c r="U20" s="325" t="s">
        <v>165</v>
      </c>
      <c r="V20" s="326" t="s">
        <v>165</v>
      </c>
    </row>
    <row r="21" spans="1:22" ht="20.25" customHeight="1" x14ac:dyDescent="0.15">
      <c r="A21" s="794"/>
      <c r="B21" s="295" t="s">
        <v>190</v>
      </c>
      <c r="C21" s="296"/>
      <c r="D21" s="296"/>
      <c r="E21" s="296"/>
      <c r="F21" s="317"/>
      <c r="G21" s="317"/>
      <c r="H21" s="317" t="s">
        <v>164</v>
      </c>
      <c r="I21" s="317" t="s">
        <v>164</v>
      </c>
      <c r="J21" s="327" t="s">
        <v>164</v>
      </c>
      <c r="K21" s="327" t="s">
        <v>164</v>
      </c>
      <c r="L21" s="317" t="s">
        <v>164</v>
      </c>
      <c r="M21" s="297">
        <f>ROUND((M20/L20)*100,1)</f>
        <v>101.3</v>
      </c>
      <c r="N21" s="298">
        <f>ROUND((N20/M20)*100,1)</f>
        <v>100</v>
      </c>
      <c r="O21" s="298">
        <f>ROUND((O20/N20)*100,1)</f>
        <v>100</v>
      </c>
      <c r="P21" s="299">
        <f>ROUND((P20/O20)*100,1)</f>
        <v>100</v>
      </c>
      <c r="Q21" s="328" t="s">
        <v>165</v>
      </c>
      <c r="R21" s="329" t="s">
        <v>165</v>
      </c>
      <c r="S21" s="329" t="s">
        <v>165</v>
      </c>
      <c r="T21" s="329" t="s">
        <v>165</v>
      </c>
      <c r="U21" s="330" t="s">
        <v>165</v>
      </c>
      <c r="V21" s="331" t="s">
        <v>165</v>
      </c>
    </row>
    <row r="22" spans="1:22" ht="20.25" customHeight="1" x14ac:dyDescent="0.15">
      <c r="A22" s="794"/>
      <c r="B22" s="295" t="s">
        <v>191</v>
      </c>
      <c r="C22" s="296"/>
      <c r="D22" s="296"/>
      <c r="E22" s="296"/>
      <c r="F22" s="317"/>
      <c r="G22" s="317"/>
      <c r="H22" s="317" t="s">
        <v>164</v>
      </c>
      <c r="I22" s="317" t="s">
        <v>164</v>
      </c>
      <c r="J22" s="327" t="s">
        <v>164</v>
      </c>
      <c r="K22" s="327" t="s">
        <v>164</v>
      </c>
      <c r="L22" s="303">
        <v>2937</v>
      </c>
      <c r="M22" s="303">
        <v>2965</v>
      </c>
      <c r="N22" s="302">
        <f>923+1751</f>
        <v>2674</v>
      </c>
      <c r="O22" s="302">
        <v>2674</v>
      </c>
      <c r="P22" s="304">
        <f>923+1751</f>
        <v>2674</v>
      </c>
      <c r="Q22" s="318" t="s">
        <v>165</v>
      </c>
      <c r="R22" s="329" t="s">
        <v>165</v>
      </c>
      <c r="S22" s="329" t="s">
        <v>165</v>
      </c>
      <c r="T22" s="329" t="s">
        <v>165</v>
      </c>
      <c r="U22" s="330" t="s">
        <v>165</v>
      </c>
      <c r="V22" s="331" t="s">
        <v>165</v>
      </c>
    </row>
    <row r="23" spans="1:22" ht="20.25" customHeight="1" x14ac:dyDescent="0.15">
      <c r="A23" s="802"/>
      <c r="B23" s="332" t="s">
        <v>190</v>
      </c>
      <c r="C23" s="333"/>
      <c r="D23" s="333"/>
      <c r="E23" s="333"/>
      <c r="F23" s="334"/>
      <c r="G23" s="334"/>
      <c r="H23" s="334" t="s">
        <v>164</v>
      </c>
      <c r="I23" s="334" t="s">
        <v>164</v>
      </c>
      <c r="J23" s="335" t="s">
        <v>164</v>
      </c>
      <c r="K23" s="335" t="s">
        <v>164</v>
      </c>
      <c r="L23" s="336" t="s">
        <v>164</v>
      </c>
      <c r="M23" s="307">
        <f>ROUND((M22/L22)*100,1)</f>
        <v>101</v>
      </c>
      <c r="N23" s="337">
        <f>ROUND((N22/M22)*100,1)</f>
        <v>90.2</v>
      </c>
      <c r="O23" s="337">
        <f>ROUND((O22/N22)*100,1)</f>
        <v>100</v>
      </c>
      <c r="P23" s="338">
        <f>ROUND((P22/O22)*100,1)</f>
        <v>100</v>
      </c>
      <c r="Q23" s="339" t="s">
        <v>165</v>
      </c>
      <c r="R23" s="340" t="s">
        <v>165</v>
      </c>
      <c r="S23" s="340" t="s">
        <v>165</v>
      </c>
      <c r="T23" s="340" t="s">
        <v>165</v>
      </c>
      <c r="U23" s="341" t="s">
        <v>165</v>
      </c>
      <c r="V23" s="342" t="s">
        <v>165</v>
      </c>
    </row>
    <row r="24" spans="1:22" ht="20.25" customHeight="1" x14ac:dyDescent="0.15">
      <c r="A24" s="796" t="s">
        <v>192</v>
      </c>
      <c r="B24" s="288" t="s">
        <v>183</v>
      </c>
      <c r="C24" s="289"/>
      <c r="D24" s="289"/>
      <c r="E24" s="289"/>
      <c r="F24" s="316" t="s">
        <v>164</v>
      </c>
      <c r="G24" s="290">
        <v>8371</v>
      </c>
      <c r="H24" s="290">
        <v>8371</v>
      </c>
      <c r="I24" s="289">
        <v>8371</v>
      </c>
      <c r="J24" s="289">
        <v>8371</v>
      </c>
      <c r="K24" s="289">
        <v>8371</v>
      </c>
      <c r="L24" s="291">
        <v>1977</v>
      </c>
      <c r="M24" s="291">
        <v>5790</v>
      </c>
      <c r="N24" s="343" t="s">
        <v>164</v>
      </c>
      <c r="O24" s="344">
        <v>15428</v>
      </c>
      <c r="P24" s="345">
        <v>4330</v>
      </c>
      <c r="Q24" s="346">
        <v>6441</v>
      </c>
      <c r="R24" s="346">
        <v>7328</v>
      </c>
      <c r="S24" s="346">
        <v>8199</v>
      </c>
      <c r="T24" s="346">
        <v>10063</v>
      </c>
      <c r="U24" s="344">
        <v>13342</v>
      </c>
      <c r="V24" s="347">
        <v>16809</v>
      </c>
    </row>
    <row r="25" spans="1:22" ht="20.25" customHeight="1" x14ac:dyDescent="0.15">
      <c r="A25" s="797"/>
      <c r="B25" s="295" t="s">
        <v>30</v>
      </c>
      <c r="C25" s="296"/>
      <c r="D25" s="296"/>
      <c r="E25" s="296"/>
      <c r="F25" s="317" t="s">
        <v>165</v>
      </c>
      <c r="G25" s="317" t="s">
        <v>165</v>
      </c>
      <c r="H25" s="297">
        <f t="shared" ref="H25:M25" si="8">ROUND((H24/G24)*100,1)</f>
        <v>100</v>
      </c>
      <c r="I25" s="296">
        <f t="shared" si="8"/>
        <v>100</v>
      </c>
      <c r="J25" s="296">
        <f t="shared" si="8"/>
        <v>100</v>
      </c>
      <c r="K25" s="296">
        <f t="shared" si="8"/>
        <v>100</v>
      </c>
      <c r="L25" s="297">
        <f t="shared" si="8"/>
        <v>23.6</v>
      </c>
      <c r="M25" s="296">
        <f t="shared" si="8"/>
        <v>292.89999999999998</v>
      </c>
      <c r="N25" s="348" t="s">
        <v>164</v>
      </c>
      <c r="O25" s="348" t="s">
        <v>164</v>
      </c>
      <c r="P25" s="299">
        <f t="shared" ref="P25:V25" si="9">ROUND((P24/O24)*100,1)</f>
        <v>28.1</v>
      </c>
      <c r="Q25" s="300">
        <f t="shared" si="9"/>
        <v>148.80000000000001</v>
      </c>
      <c r="R25" s="300">
        <f t="shared" si="9"/>
        <v>113.8</v>
      </c>
      <c r="S25" s="300">
        <f t="shared" si="9"/>
        <v>111.9</v>
      </c>
      <c r="T25" s="300">
        <f t="shared" si="9"/>
        <v>122.7</v>
      </c>
      <c r="U25" s="298">
        <f t="shared" si="9"/>
        <v>132.6</v>
      </c>
      <c r="V25" s="301">
        <f t="shared" si="9"/>
        <v>126</v>
      </c>
    </row>
    <row r="26" spans="1:22" ht="20.25" customHeight="1" x14ac:dyDescent="0.15">
      <c r="A26" s="797"/>
      <c r="B26" s="295" t="s">
        <v>184</v>
      </c>
      <c r="C26" s="302"/>
      <c r="D26" s="302"/>
      <c r="E26" s="302"/>
      <c r="F26" s="318" t="s">
        <v>164</v>
      </c>
      <c r="G26" s="303">
        <v>6882</v>
      </c>
      <c r="H26" s="303">
        <v>6710</v>
      </c>
      <c r="I26" s="302">
        <v>6710</v>
      </c>
      <c r="J26" s="302">
        <v>6710</v>
      </c>
      <c r="K26" s="302">
        <v>5861</v>
      </c>
      <c r="L26" s="303">
        <v>1553</v>
      </c>
      <c r="M26" s="303">
        <v>4392</v>
      </c>
      <c r="N26" s="349" t="s">
        <v>164</v>
      </c>
      <c r="O26" s="350">
        <v>10087</v>
      </c>
      <c r="P26" s="351">
        <v>1997</v>
      </c>
      <c r="Q26" s="352">
        <v>3070</v>
      </c>
      <c r="R26" s="352">
        <v>3563</v>
      </c>
      <c r="S26" s="352">
        <v>4011</v>
      </c>
      <c r="T26" s="352">
        <v>5478</v>
      </c>
      <c r="U26" s="350">
        <v>8156</v>
      </c>
      <c r="V26" s="353">
        <v>10497</v>
      </c>
    </row>
    <row r="27" spans="1:22" ht="20.25" customHeight="1" x14ac:dyDescent="0.15">
      <c r="A27" s="798"/>
      <c r="B27" s="306" t="s">
        <v>30</v>
      </c>
      <c r="C27" s="307"/>
      <c r="D27" s="307"/>
      <c r="E27" s="307"/>
      <c r="F27" s="319" t="s">
        <v>164</v>
      </c>
      <c r="G27" s="319" t="s">
        <v>164</v>
      </c>
      <c r="H27" s="308">
        <f t="shared" ref="H27:M27" si="10">ROUND((H26/G26)*100,1)</f>
        <v>97.5</v>
      </c>
      <c r="I27" s="307">
        <f t="shared" si="10"/>
        <v>100</v>
      </c>
      <c r="J27" s="307">
        <f t="shared" si="10"/>
        <v>100</v>
      </c>
      <c r="K27" s="307">
        <f t="shared" si="10"/>
        <v>87.3</v>
      </c>
      <c r="L27" s="307">
        <f t="shared" si="10"/>
        <v>26.5</v>
      </c>
      <c r="M27" s="307">
        <f t="shared" si="10"/>
        <v>282.8</v>
      </c>
      <c r="N27" s="354" t="s">
        <v>164</v>
      </c>
      <c r="O27" s="354" t="s">
        <v>164</v>
      </c>
      <c r="P27" s="311">
        <f t="shared" ref="P27:V27" si="11">ROUND((P26/O26)*100,1)</f>
        <v>19.8</v>
      </c>
      <c r="Q27" s="311">
        <f t="shared" si="11"/>
        <v>153.69999999999999</v>
      </c>
      <c r="R27" s="311">
        <f t="shared" si="11"/>
        <v>116.1</v>
      </c>
      <c r="S27" s="311">
        <f t="shared" si="11"/>
        <v>112.6</v>
      </c>
      <c r="T27" s="311">
        <f t="shared" si="11"/>
        <v>136.6</v>
      </c>
      <c r="U27" s="309">
        <f t="shared" si="11"/>
        <v>148.9</v>
      </c>
      <c r="V27" s="312">
        <f t="shared" si="11"/>
        <v>128.69999999999999</v>
      </c>
    </row>
    <row r="28" spans="1:22" ht="20.25" customHeight="1" x14ac:dyDescent="0.15">
      <c r="A28" s="799" t="s">
        <v>193</v>
      </c>
      <c r="B28" s="313" t="s">
        <v>183</v>
      </c>
      <c r="C28" s="289"/>
      <c r="D28" s="289"/>
      <c r="E28" s="289">
        <v>1377</v>
      </c>
      <c r="F28" s="355">
        <v>392</v>
      </c>
      <c r="G28" s="290">
        <v>713</v>
      </c>
      <c r="H28" s="290">
        <v>1131</v>
      </c>
      <c r="I28" s="289">
        <v>1292</v>
      </c>
      <c r="J28" s="289">
        <v>1460</v>
      </c>
      <c r="K28" s="289">
        <v>1311</v>
      </c>
      <c r="L28" s="291">
        <v>1584</v>
      </c>
      <c r="M28" s="291">
        <v>2040</v>
      </c>
      <c r="N28" s="292">
        <v>1231</v>
      </c>
      <c r="O28" s="292">
        <v>630</v>
      </c>
      <c r="P28" s="293">
        <v>1012</v>
      </c>
      <c r="Q28" s="291">
        <v>1347</v>
      </c>
      <c r="R28" s="291">
        <v>796</v>
      </c>
      <c r="S28" s="291">
        <v>604</v>
      </c>
      <c r="T28" s="291">
        <v>560</v>
      </c>
      <c r="U28" s="356" t="s">
        <v>164</v>
      </c>
      <c r="V28" s="347">
        <v>441</v>
      </c>
    </row>
    <row r="29" spans="1:22" ht="20.25" customHeight="1" x14ac:dyDescent="0.15">
      <c r="A29" s="800"/>
      <c r="B29" s="314" t="s">
        <v>30</v>
      </c>
      <c r="C29" s="296"/>
      <c r="D29" s="296"/>
      <c r="E29" s="296"/>
      <c r="F29" s="297">
        <f t="shared" ref="F29:S29" si="12">ROUND((F28/E28)*100,1)</f>
        <v>28.5</v>
      </c>
      <c r="G29" s="297">
        <f t="shared" si="12"/>
        <v>181.9</v>
      </c>
      <c r="H29" s="297">
        <f t="shared" si="12"/>
        <v>158.6</v>
      </c>
      <c r="I29" s="296">
        <f t="shared" si="12"/>
        <v>114.2</v>
      </c>
      <c r="J29" s="296">
        <f t="shared" si="12"/>
        <v>113</v>
      </c>
      <c r="K29" s="296">
        <f t="shared" si="12"/>
        <v>89.8</v>
      </c>
      <c r="L29" s="296">
        <f t="shared" si="12"/>
        <v>120.8</v>
      </c>
      <c r="M29" s="296">
        <f t="shared" si="12"/>
        <v>128.80000000000001</v>
      </c>
      <c r="N29" s="298">
        <f t="shared" si="12"/>
        <v>60.3</v>
      </c>
      <c r="O29" s="298">
        <f t="shared" si="12"/>
        <v>51.2</v>
      </c>
      <c r="P29" s="299">
        <f t="shared" si="12"/>
        <v>160.6</v>
      </c>
      <c r="Q29" s="300">
        <f t="shared" si="12"/>
        <v>133.1</v>
      </c>
      <c r="R29" s="300">
        <f t="shared" si="12"/>
        <v>59.1</v>
      </c>
      <c r="S29" s="300">
        <f t="shared" si="12"/>
        <v>75.900000000000006</v>
      </c>
      <c r="T29" s="300">
        <f>ROUND((T28/S28)*100,1)</f>
        <v>92.7</v>
      </c>
      <c r="U29" s="357" t="s">
        <v>164</v>
      </c>
      <c r="V29" s="331" t="s">
        <v>164</v>
      </c>
    </row>
    <row r="30" spans="1:22" ht="20.25" customHeight="1" x14ac:dyDescent="0.15">
      <c r="A30" s="800"/>
      <c r="B30" s="314" t="s">
        <v>184</v>
      </c>
      <c r="C30" s="302"/>
      <c r="D30" s="302"/>
      <c r="E30" s="302">
        <v>890</v>
      </c>
      <c r="F30" s="352">
        <v>26</v>
      </c>
      <c r="G30" s="303">
        <v>42</v>
      </c>
      <c r="H30" s="303">
        <v>78</v>
      </c>
      <c r="I30" s="302">
        <v>93</v>
      </c>
      <c r="J30" s="302">
        <v>123</v>
      </c>
      <c r="K30" s="302">
        <v>104</v>
      </c>
      <c r="L30" s="303">
        <v>133</v>
      </c>
      <c r="M30" s="303">
        <v>201</v>
      </c>
      <c r="N30" s="302">
        <v>86</v>
      </c>
      <c r="O30" s="302">
        <v>64</v>
      </c>
      <c r="P30" s="304">
        <v>96</v>
      </c>
      <c r="Q30" s="303">
        <v>121</v>
      </c>
      <c r="R30" s="303">
        <v>69</v>
      </c>
      <c r="S30" s="303">
        <v>60</v>
      </c>
      <c r="T30" s="303">
        <v>61</v>
      </c>
      <c r="U30" s="357" t="s">
        <v>164</v>
      </c>
      <c r="V30" s="353">
        <v>29</v>
      </c>
    </row>
    <row r="31" spans="1:22" ht="20.25" customHeight="1" x14ac:dyDescent="0.15">
      <c r="A31" s="801"/>
      <c r="B31" s="315" t="s">
        <v>30</v>
      </c>
      <c r="C31" s="307"/>
      <c r="D31" s="307"/>
      <c r="E31" s="307"/>
      <c r="F31" s="308">
        <f t="shared" ref="F31:S31" si="13">ROUND((F30/E30)*100,1)</f>
        <v>2.9</v>
      </c>
      <c r="G31" s="308">
        <f t="shared" si="13"/>
        <v>161.5</v>
      </c>
      <c r="H31" s="308">
        <f t="shared" si="13"/>
        <v>185.7</v>
      </c>
      <c r="I31" s="307">
        <f t="shared" si="13"/>
        <v>119.2</v>
      </c>
      <c r="J31" s="307">
        <f t="shared" si="13"/>
        <v>132.30000000000001</v>
      </c>
      <c r="K31" s="307">
        <f t="shared" si="13"/>
        <v>84.6</v>
      </c>
      <c r="L31" s="307">
        <f t="shared" si="13"/>
        <v>127.9</v>
      </c>
      <c r="M31" s="307">
        <f t="shared" si="13"/>
        <v>151.1</v>
      </c>
      <c r="N31" s="309">
        <f t="shared" si="13"/>
        <v>42.8</v>
      </c>
      <c r="O31" s="309">
        <f t="shared" si="13"/>
        <v>74.400000000000006</v>
      </c>
      <c r="P31" s="310">
        <f t="shared" si="13"/>
        <v>150</v>
      </c>
      <c r="Q31" s="311">
        <f t="shared" si="13"/>
        <v>126</v>
      </c>
      <c r="R31" s="311">
        <f t="shared" si="13"/>
        <v>57</v>
      </c>
      <c r="S31" s="311">
        <f t="shared" si="13"/>
        <v>87</v>
      </c>
      <c r="T31" s="311">
        <f>ROUND((T30/S30)*100,1)</f>
        <v>101.7</v>
      </c>
      <c r="U31" s="358" t="s">
        <v>164</v>
      </c>
      <c r="V31" s="359" t="s">
        <v>164</v>
      </c>
    </row>
    <row r="32" spans="1:22" ht="20.25" customHeight="1" x14ac:dyDescent="0.15">
      <c r="A32" s="799" t="s">
        <v>194</v>
      </c>
      <c r="B32" s="288" t="s">
        <v>183</v>
      </c>
      <c r="C32" s="289"/>
      <c r="D32" s="289"/>
      <c r="E32" s="289"/>
      <c r="F32" s="316" t="s">
        <v>164</v>
      </c>
      <c r="G32" s="290">
        <v>626</v>
      </c>
      <c r="H32" s="290">
        <v>400</v>
      </c>
      <c r="I32" s="289">
        <v>700</v>
      </c>
      <c r="J32" s="289">
        <v>800</v>
      </c>
      <c r="K32" s="289">
        <v>688</v>
      </c>
      <c r="L32" s="291">
        <v>300</v>
      </c>
      <c r="M32" s="291">
        <v>586</v>
      </c>
      <c r="N32" s="292">
        <v>391</v>
      </c>
      <c r="O32" s="343" t="s">
        <v>164</v>
      </c>
      <c r="P32" s="360" t="s">
        <v>164</v>
      </c>
      <c r="Q32" s="346">
        <v>300</v>
      </c>
      <c r="R32" s="346">
        <v>600</v>
      </c>
      <c r="S32" s="361" t="s">
        <v>164</v>
      </c>
      <c r="T32" s="355">
        <v>570</v>
      </c>
      <c r="U32" s="362">
        <v>107</v>
      </c>
      <c r="V32" s="363">
        <v>380</v>
      </c>
    </row>
    <row r="33" spans="1:22" ht="20.25" customHeight="1" x14ac:dyDescent="0.15">
      <c r="A33" s="800"/>
      <c r="B33" s="295" t="s">
        <v>30</v>
      </c>
      <c r="C33" s="296"/>
      <c r="D33" s="296"/>
      <c r="E33" s="296"/>
      <c r="F33" s="317" t="s">
        <v>164</v>
      </c>
      <c r="G33" s="317" t="s">
        <v>164</v>
      </c>
      <c r="H33" s="297">
        <f t="shared" ref="H33:M33" si="14">ROUND((H32/G32)*100,1)</f>
        <v>63.9</v>
      </c>
      <c r="I33" s="297">
        <f t="shared" si="14"/>
        <v>175</v>
      </c>
      <c r="J33" s="296">
        <f t="shared" si="14"/>
        <v>114.3</v>
      </c>
      <c r="K33" s="296">
        <f t="shared" si="14"/>
        <v>86</v>
      </c>
      <c r="L33" s="296">
        <f t="shared" si="14"/>
        <v>43.6</v>
      </c>
      <c r="M33" s="296">
        <f t="shared" si="14"/>
        <v>195.3</v>
      </c>
      <c r="N33" s="298">
        <f>ROUND((N32/M32)*100,1)</f>
        <v>66.7</v>
      </c>
      <c r="O33" s="348" t="s">
        <v>164</v>
      </c>
      <c r="P33" s="364" t="s">
        <v>164</v>
      </c>
      <c r="Q33" s="328" t="s">
        <v>164</v>
      </c>
      <c r="R33" s="365" t="s">
        <v>164</v>
      </c>
      <c r="S33" s="365" t="s">
        <v>164</v>
      </c>
      <c r="T33" s="365" t="s">
        <v>165</v>
      </c>
      <c r="U33" s="366">
        <f>ROUND((U32/T32)*100,1)</f>
        <v>18.8</v>
      </c>
      <c r="V33" s="367">
        <f>ROUND((V32/U32)*100,1)</f>
        <v>355.1</v>
      </c>
    </row>
    <row r="34" spans="1:22" ht="20.25" customHeight="1" x14ac:dyDescent="0.15">
      <c r="A34" s="800"/>
      <c r="B34" s="295" t="s">
        <v>184</v>
      </c>
      <c r="C34" s="302"/>
      <c r="D34" s="302"/>
      <c r="E34" s="302"/>
      <c r="F34" s="318" t="s">
        <v>164</v>
      </c>
      <c r="G34" s="303">
        <v>48</v>
      </c>
      <c r="H34" s="303">
        <v>54</v>
      </c>
      <c r="I34" s="303">
        <v>68</v>
      </c>
      <c r="J34" s="302">
        <v>99</v>
      </c>
      <c r="K34" s="302">
        <v>47</v>
      </c>
      <c r="L34" s="303">
        <v>36</v>
      </c>
      <c r="M34" s="303">
        <v>59</v>
      </c>
      <c r="N34" s="302">
        <v>48</v>
      </c>
      <c r="O34" s="349" t="s">
        <v>164</v>
      </c>
      <c r="P34" s="368" t="s">
        <v>164</v>
      </c>
      <c r="Q34" s="352">
        <v>21</v>
      </c>
      <c r="R34" s="352">
        <v>52</v>
      </c>
      <c r="S34" s="365" t="s">
        <v>164</v>
      </c>
      <c r="T34" s="352">
        <v>50</v>
      </c>
      <c r="U34" s="350">
        <v>2</v>
      </c>
      <c r="V34" s="353">
        <v>56</v>
      </c>
    </row>
    <row r="35" spans="1:22" ht="20.25" customHeight="1" x14ac:dyDescent="0.15">
      <c r="A35" s="801"/>
      <c r="B35" s="306" t="s">
        <v>30</v>
      </c>
      <c r="C35" s="307"/>
      <c r="D35" s="307"/>
      <c r="E35" s="307"/>
      <c r="F35" s="319" t="s">
        <v>164</v>
      </c>
      <c r="G35" s="319" t="s">
        <v>164</v>
      </c>
      <c r="H35" s="308">
        <f t="shared" ref="H35:M35" si="15">ROUND((H34/G34)*100,1)</f>
        <v>112.5</v>
      </c>
      <c r="I35" s="308">
        <f t="shared" si="15"/>
        <v>125.9</v>
      </c>
      <c r="J35" s="307">
        <f t="shared" si="15"/>
        <v>145.6</v>
      </c>
      <c r="K35" s="307">
        <f t="shared" si="15"/>
        <v>47.5</v>
      </c>
      <c r="L35" s="307">
        <f t="shared" si="15"/>
        <v>76.599999999999994</v>
      </c>
      <c r="M35" s="307">
        <f t="shared" si="15"/>
        <v>163.9</v>
      </c>
      <c r="N35" s="309">
        <f>ROUND((N34/M34)*100,1)</f>
        <v>81.400000000000006</v>
      </c>
      <c r="O35" s="354" t="s">
        <v>164</v>
      </c>
      <c r="P35" s="369" t="s">
        <v>164</v>
      </c>
      <c r="Q35" s="370" t="s">
        <v>164</v>
      </c>
      <c r="R35" s="371" t="s">
        <v>164</v>
      </c>
      <c r="S35" s="371" t="s">
        <v>164</v>
      </c>
      <c r="T35" s="372" t="s">
        <v>165</v>
      </c>
      <c r="U35" s="373">
        <f>ROUND((U34/T34)*100,1)</f>
        <v>4</v>
      </c>
      <c r="V35" s="374">
        <f>ROUND((V34/U34)*100,1)</f>
        <v>2800</v>
      </c>
    </row>
    <row r="36" spans="1:22" ht="20.25" customHeight="1" x14ac:dyDescent="0.15">
      <c r="A36" s="799" t="s">
        <v>195</v>
      </c>
      <c r="B36" s="288" t="s">
        <v>183</v>
      </c>
      <c r="C36" s="289"/>
      <c r="D36" s="289"/>
      <c r="E36" s="289"/>
      <c r="F36" s="316" t="s">
        <v>164</v>
      </c>
      <c r="G36" s="290">
        <v>626</v>
      </c>
      <c r="H36" s="290">
        <v>400</v>
      </c>
      <c r="I36" s="289">
        <v>700</v>
      </c>
      <c r="J36" s="289">
        <v>800</v>
      </c>
      <c r="K36" s="289">
        <v>688</v>
      </c>
      <c r="L36" s="291">
        <v>300</v>
      </c>
      <c r="M36" s="291">
        <v>586</v>
      </c>
      <c r="N36" s="292">
        <v>391</v>
      </c>
      <c r="O36" s="343" t="s">
        <v>164</v>
      </c>
      <c r="P36" s="360" t="s">
        <v>164</v>
      </c>
      <c r="Q36" s="375" t="s">
        <v>165</v>
      </c>
      <c r="R36" s="376" t="s">
        <v>165</v>
      </c>
      <c r="S36" s="376" t="s">
        <v>164</v>
      </c>
      <c r="T36" s="324" t="s">
        <v>165</v>
      </c>
      <c r="U36" s="377">
        <v>400</v>
      </c>
      <c r="V36" s="326" t="s">
        <v>165</v>
      </c>
    </row>
    <row r="37" spans="1:22" ht="20.25" customHeight="1" x14ac:dyDescent="0.15">
      <c r="A37" s="800"/>
      <c r="B37" s="295" t="s">
        <v>30</v>
      </c>
      <c r="C37" s="296"/>
      <c r="D37" s="296"/>
      <c r="E37" s="296"/>
      <c r="F37" s="317" t="s">
        <v>164</v>
      </c>
      <c r="G37" s="317" t="s">
        <v>164</v>
      </c>
      <c r="H37" s="297">
        <f t="shared" ref="H37:N37" si="16">ROUND((H36/G36)*100,1)</f>
        <v>63.9</v>
      </c>
      <c r="I37" s="297">
        <f t="shared" si="16"/>
        <v>175</v>
      </c>
      <c r="J37" s="296">
        <f t="shared" si="16"/>
        <v>114.3</v>
      </c>
      <c r="K37" s="296">
        <f t="shared" si="16"/>
        <v>86</v>
      </c>
      <c r="L37" s="296">
        <f t="shared" si="16"/>
        <v>43.6</v>
      </c>
      <c r="M37" s="296">
        <f t="shared" si="16"/>
        <v>195.3</v>
      </c>
      <c r="N37" s="298">
        <f t="shared" si="16"/>
        <v>66.7</v>
      </c>
      <c r="O37" s="348" t="s">
        <v>164</v>
      </c>
      <c r="P37" s="364" t="s">
        <v>164</v>
      </c>
      <c r="Q37" s="328" t="s">
        <v>164</v>
      </c>
      <c r="R37" s="329" t="s">
        <v>164</v>
      </c>
      <c r="S37" s="329" t="s">
        <v>164</v>
      </c>
      <c r="T37" s="329" t="s">
        <v>165</v>
      </c>
      <c r="U37" s="330" t="s">
        <v>165</v>
      </c>
      <c r="V37" s="331" t="s">
        <v>165</v>
      </c>
    </row>
    <row r="38" spans="1:22" ht="20.25" customHeight="1" x14ac:dyDescent="0.15">
      <c r="A38" s="800"/>
      <c r="B38" s="295" t="s">
        <v>184</v>
      </c>
      <c r="C38" s="302"/>
      <c r="D38" s="302"/>
      <c r="E38" s="302"/>
      <c r="F38" s="318" t="s">
        <v>164</v>
      </c>
      <c r="G38" s="303">
        <v>48</v>
      </c>
      <c r="H38" s="303">
        <v>54</v>
      </c>
      <c r="I38" s="303">
        <v>68</v>
      </c>
      <c r="J38" s="302">
        <v>99</v>
      </c>
      <c r="K38" s="302">
        <v>47</v>
      </c>
      <c r="L38" s="303">
        <v>36</v>
      </c>
      <c r="M38" s="303">
        <v>59</v>
      </c>
      <c r="N38" s="302">
        <v>48</v>
      </c>
      <c r="O38" s="349" t="s">
        <v>164</v>
      </c>
      <c r="P38" s="368" t="s">
        <v>164</v>
      </c>
      <c r="Q38" s="318" t="s">
        <v>165</v>
      </c>
      <c r="R38" s="329" t="s">
        <v>165</v>
      </c>
      <c r="S38" s="329" t="s">
        <v>164</v>
      </c>
      <c r="T38" s="329" t="s">
        <v>165</v>
      </c>
      <c r="U38" s="378">
        <v>33</v>
      </c>
      <c r="V38" s="331" t="s">
        <v>165</v>
      </c>
    </row>
    <row r="39" spans="1:22" ht="20.25" customHeight="1" x14ac:dyDescent="0.15">
      <c r="A39" s="801"/>
      <c r="B39" s="306" t="s">
        <v>30</v>
      </c>
      <c r="C39" s="307"/>
      <c r="D39" s="307"/>
      <c r="E39" s="307"/>
      <c r="F39" s="319" t="s">
        <v>164</v>
      </c>
      <c r="G39" s="319" t="s">
        <v>164</v>
      </c>
      <c r="H39" s="308">
        <f t="shared" ref="H39:N39" si="17">ROUND((H38/G38)*100,1)</f>
        <v>112.5</v>
      </c>
      <c r="I39" s="308">
        <f t="shared" si="17"/>
        <v>125.9</v>
      </c>
      <c r="J39" s="307">
        <f t="shared" si="17"/>
        <v>145.6</v>
      </c>
      <c r="K39" s="307">
        <f t="shared" si="17"/>
        <v>47.5</v>
      </c>
      <c r="L39" s="307">
        <f t="shared" si="17"/>
        <v>76.599999999999994</v>
      </c>
      <c r="M39" s="307">
        <f t="shared" si="17"/>
        <v>163.9</v>
      </c>
      <c r="N39" s="309">
        <f t="shared" si="17"/>
        <v>81.400000000000006</v>
      </c>
      <c r="O39" s="354" t="s">
        <v>164</v>
      </c>
      <c r="P39" s="369" t="s">
        <v>164</v>
      </c>
      <c r="Q39" s="370" t="s">
        <v>164</v>
      </c>
      <c r="R39" s="379" t="s">
        <v>164</v>
      </c>
      <c r="S39" s="379" t="s">
        <v>164</v>
      </c>
      <c r="T39" s="340" t="s">
        <v>165</v>
      </c>
      <c r="U39" s="341" t="s">
        <v>165</v>
      </c>
      <c r="V39" s="342" t="s">
        <v>165</v>
      </c>
    </row>
    <row r="40" spans="1:22" ht="20.25" customHeight="1" x14ac:dyDescent="0.15">
      <c r="A40" s="803" t="s">
        <v>196</v>
      </c>
      <c r="B40" s="380" t="s">
        <v>183</v>
      </c>
      <c r="C40" s="292"/>
      <c r="D40" s="292"/>
      <c r="E40" s="292"/>
      <c r="F40" s="375" t="s">
        <v>164</v>
      </c>
      <c r="G40" s="375" t="s">
        <v>164</v>
      </c>
      <c r="H40" s="291">
        <v>480</v>
      </c>
      <c r="I40" s="291">
        <v>1412</v>
      </c>
      <c r="J40" s="292">
        <v>1252</v>
      </c>
      <c r="K40" s="292">
        <v>238</v>
      </c>
      <c r="L40" s="291">
        <v>440</v>
      </c>
      <c r="M40" s="291">
        <v>96</v>
      </c>
      <c r="N40" s="292">
        <v>120</v>
      </c>
      <c r="O40" s="292">
        <v>295</v>
      </c>
      <c r="P40" s="293">
        <v>480</v>
      </c>
      <c r="Q40" s="291">
        <v>120</v>
      </c>
      <c r="R40" s="381">
        <v>88</v>
      </c>
      <c r="S40" s="376" t="s">
        <v>164</v>
      </c>
      <c r="T40" s="324" t="s">
        <v>165</v>
      </c>
      <c r="U40" s="325" t="s">
        <v>165</v>
      </c>
      <c r="V40" s="326" t="s">
        <v>165</v>
      </c>
    </row>
    <row r="41" spans="1:22" ht="20.25" customHeight="1" x14ac:dyDescent="0.15">
      <c r="A41" s="797"/>
      <c r="B41" s="295" t="s">
        <v>30</v>
      </c>
      <c r="C41" s="296"/>
      <c r="D41" s="296"/>
      <c r="E41" s="296"/>
      <c r="F41" s="317" t="s">
        <v>164</v>
      </c>
      <c r="G41" s="317" t="s">
        <v>164</v>
      </c>
      <c r="H41" s="317" t="s">
        <v>164</v>
      </c>
      <c r="I41" s="297">
        <f t="shared" ref="I41:R41" si="18">ROUND((I40/H40)*100,1)</f>
        <v>294.2</v>
      </c>
      <c r="J41" s="296">
        <f t="shared" si="18"/>
        <v>88.7</v>
      </c>
      <c r="K41" s="296">
        <f t="shared" si="18"/>
        <v>19</v>
      </c>
      <c r="L41" s="296">
        <f t="shared" si="18"/>
        <v>184.9</v>
      </c>
      <c r="M41" s="296">
        <f t="shared" si="18"/>
        <v>21.8</v>
      </c>
      <c r="N41" s="298">
        <f t="shared" si="18"/>
        <v>125</v>
      </c>
      <c r="O41" s="298">
        <f>ROUND((O40/N40)*100,1)</f>
        <v>245.8</v>
      </c>
      <c r="P41" s="299">
        <f>ROUND((P40/O40)*100,1)</f>
        <v>162.69999999999999</v>
      </c>
      <c r="Q41" s="300">
        <f t="shared" si="18"/>
        <v>25</v>
      </c>
      <c r="R41" s="382">
        <f t="shared" si="18"/>
        <v>73.3</v>
      </c>
      <c r="S41" s="329" t="s">
        <v>164</v>
      </c>
      <c r="T41" s="329" t="s">
        <v>165</v>
      </c>
      <c r="U41" s="330" t="s">
        <v>165</v>
      </c>
      <c r="V41" s="331" t="s">
        <v>165</v>
      </c>
    </row>
    <row r="42" spans="1:22" ht="20.25" customHeight="1" x14ac:dyDescent="0.15">
      <c r="A42" s="797"/>
      <c r="B42" s="295" t="s">
        <v>184</v>
      </c>
      <c r="C42" s="302"/>
      <c r="D42" s="302"/>
      <c r="E42" s="302"/>
      <c r="F42" s="318" t="s">
        <v>164</v>
      </c>
      <c r="G42" s="318" t="s">
        <v>164</v>
      </c>
      <c r="H42" s="303">
        <v>38</v>
      </c>
      <c r="I42" s="303">
        <v>200</v>
      </c>
      <c r="J42" s="302">
        <v>210</v>
      </c>
      <c r="K42" s="302">
        <v>23</v>
      </c>
      <c r="L42" s="303">
        <v>43</v>
      </c>
      <c r="M42" s="303">
        <v>11</v>
      </c>
      <c r="N42" s="302">
        <v>32</v>
      </c>
      <c r="O42" s="302">
        <v>37</v>
      </c>
      <c r="P42" s="304">
        <v>53</v>
      </c>
      <c r="Q42" s="303">
        <v>23</v>
      </c>
      <c r="R42" s="383">
        <v>27</v>
      </c>
      <c r="S42" s="329" t="s">
        <v>164</v>
      </c>
      <c r="T42" s="329" t="s">
        <v>165</v>
      </c>
      <c r="U42" s="330" t="s">
        <v>165</v>
      </c>
      <c r="V42" s="331" t="s">
        <v>165</v>
      </c>
    </row>
    <row r="43" spans="1:22" ht="20.25" customHeight="1" x14ac:dyDescent="0.15">
      <c r="A43" s="797"/>
      <c r="B43" s="384" t="s">
        <v>30</v>
      </c>
      <c r="C43" s="385"/>
      <c r="D43" s="385"/>
      <c r="E43" s="385"/>
      <c r="F43" s="386" t="s">
        <v>164</v>
      </c>
      <c r="G43" s="386" t="s">
        <v>164</v>
      </c>
      <c r="H43" s="386" t="s">
        <v>164</v>
      </c>
      <c r="I43" s="387">
        <f t="shared" ref="I43:R43" si="19">ROUND((I42/H42)*100,1)</f>
        <v>526.29999999999995</v>
      </c>
      <c r="J43" s="385">
        <f t="shared" si="19"/>
        <v>105</v>
      </c>
      <c r="K43" s="385">
        <f t="shared" si="19"/>
        <v>11</v>
      </c>
      <c r="L43" s="385">
        <f t="shared" si="19"/>
        <v>187</v>
      </c>
      <c r="M43" s="385">
        <f t="shared" si="19"/>
        <v>25.6</v>
      </c>
      <c r="N43" s="388">
        <f>ROUND((N42/M42)*100,1)</f>
        <v>290.89999999999998</v>
      </c>
      <c r="O43" s="388">
        <f>ROUND((O42/N42)*100,1)</f>
        <v>115.6</v>
      </c>
      <c r="P43" s="389">
        <f>ROUND((P42/O42)*100,1)</f>
        <v>143.19999999999999</v>
      </c>
      <c r="Q43" s="390">
        <f t="shared" si="19"/>
        <v>43.4</v>
      </c>
      <c r="R43" s="391">
        <f t="shared" si="19"/>
        <v>117.4</v>
      </c>
      <c r="S43" s="392" t="s">
        <v>164</v>
      </c>
      <c r="T43" s="340" t="s">
        <v>165</v>
      </c>
      <c r="U43" s="341" t="s">
        <v>165</v>
      </c>
      <c r="V43" s="342" t="s">
        <v>165</v>
      </c>
    </row>
    <row r="44" spans="1:22" ht="20.25" customHeight="1" x14ac:dyDescent="0.15">
      <c r="A44" s="799" t="s">
        <v>197</v>
      </c>
      <c r="B44" s="288" t="s">
        <v>189</v>
      </c>
      <c r="C44" s="320"/>
      <c r="D44" s="320"/>
      <c r="E44" s="320"/>
      <c r="F44" s="321"/>
      <c r="G44" s="321"/>
      <c r="H44" s="321"/>
      <c r="I44" s="321"/>
      <c r="J44" s="322" t="s">
        <v>164</v>
      </c>
      <c r="K44" s="322" t="s">
        <v>164</v>
      </c>
      <c r="L44" s="322" t="s">
        <v>164</v>
      </c>
      <c r="M44" s="322" t="s">
        <v>164</v>
      </c>
      <c r="N44" s="289">
        <v>12970</v>
      </c>
      <c r="O44" s="393" t="s">
        <v>164</v>
      </c>
      <c r="P44" s="394">
        <v>12970</v>
      </c>
      <c r="Q44" s="355">
        <v>10274</v>
      </c>
      <c r="R44" s="395">
        <v>7180</v>
      </c>
      <c r="S44" s="324" t="s">
        <v>164</v>
      </c>
      <c r="T44" s="324" t="s">
        <v>165</v>
      </c>
      <c r="U44" s="325" t="s">
        <v>165</v>
      </c>
      <c r="V44" s="326" t="s">
        <v>165</v>
      </c>
    </row>
    <row r="45" spans="1:22" ht="20.25" customHeight="1" x14ac:dyDescent="0.15">
      <c r="A45" s="794"/>
      <c r="B45" s="295" t="s">
        <v>190</v>
      </c>
      <c r="C45" s="296"/>
      <c r="D45" s="296"/>
      <c r="E45" s="296"/>
      <c r="F45" s="317"/>
      <c r="G45" s="317"/>
      <c r="H45" s="317"/>
      <c r="I45" s="317"/>
      <c r="J45" s="327" t="s">
        <v>164</v>
      </c>
      <c r="K45" s="327" t="s">
        <v>164</v>
      </c>
      <c r="L45" s="317" t="s">
        <v>164</v>
      </c>
      <c r="M45" s="317" t="s">
        <v>164</v>
      </c>
      <c r="N45" s="327" t="s">
        <v>164</v>
      </c>
      <c r="O45" s="327" t="s">
        <v>164</v>
      </c>
      <c r="P45" s="396" t="s">
        <v>164</v>
      </c>
      <c r="Q45" s="300">
        <f>ROUND((Q44/P44)*100,1)</f>
        <v>79.2</v>
      </c>
      <c r="R45" s="382">
        <f>ROUND((R44/Q44)*100,1)</f>
        <v>69.900000000000006</v>
      </c>
      <c r="S45" s="329" t="s">
        <v>164</v>
      </c>
      <c r="T45" s="329" t="s">
        <v>165</v>
      </c>
      <c r="U45" s="330" t="s">
        <v>165</v>
      </c>
      <c r="V45" s="331" t="s">
        <v>165</v>
      </c>
    </row>
    <row r="46" spans="1:22" ht="20.25" customHeight="1" x14ac:dyDescent="0.15">
      <c r="A46" s="794"/>
      <c r="B46" s="295" t="s">
        <v>191</v>
      </c>
      <c r="C46" s="296"/>
      <c r="D46" s="296"/>
      <c r="E46" s="296"/>
      <c r="F46" s="317"/>
      <c r="G46" s="317"/>
      <c r="H46" s="317"/>
      <c r="I46" s="317"/>
      <c r="J46" s="327" t="s">
        <v>164</v>
      </c>
      <c r="K46" s="327" t="s">
        <v>164</v>
      </c>
      <c r="L46" s="327" t="s">
        <v>164</v>
      </c>
      <c r="M46" s="327" t="s">
        <v>164</v>
      </c>
      <c r="N46" s="302">
        <v>8917</v>
      </c>
      <c r="O46" s="349" t="s">
        <v>164</v>
      </c>
      <c r="P46" s="351">
        <v>8916</v>
      </c>
      <c r="Q46" s="352">
        <v>6443</v>
      </c>
      <c r="R46" s="397">
        <v>4305</v>
      </c>
      <c r="S46" s="329" t="s">
        <v>164</v>
      </c>
      <c r="T46" s="329" t="s">
        <v>165</v>
      </c>
      <c r="U46" s="330" t="s">
        <v>165</v>
      </c>
      <c r="V46" s="331" t="s">
        <v>165</v>
      </c>
    </row>
    <row r="47" spans="1:22" ht="20.25" customHeight="1" x14ac:dyDescent="0.15">
      <c r="A47" s="802"/>
      <c r="B47" s="398" t="s">
        <v>190</v>
      </c>
      <c r="C47" s="399"/>
      <c r="D47" s="399"/>
      <c r="E47" s="399"/>
      <c r="F47" s="400"/>
      <c r="G47" s="400"/>
      <c r="H47" s="400"/>
      <c r="I47" s="400"/>
      <c r="J47" s="401" t="s">
        <v>164</v>
      </c>
      <c r="K47" s="401" t="s">
        <v>164</v>
      </c>
      <c r="L47" s="336" t="s">
        <v>164</v>
      </c>
      <c r="M47" s="336" t="s">
        <v>164</v>
      </c>
      <c r="N47" s="336" t="s">
        <v>164</v>
      </c>
      <c r="O47" s="336" t="s">
        <v>164</v>
      </c>
      <c r="P47" s="402" t="s">
        <v>164</v>
      </c>
      <c r="Q47" s="311">
        <f>ROUND((Q46/P46)*100,1)</f>
        <v>72.3</v>
      </c>
      <c r="R47" s="403">
        <f>ROUND((R46/Q46)*100,1)</f>
        <v>66.8</v>
      </c>
      <c r="S47" s="379" t="s">
        <v>164</v>
      </c>
      <c r="T47" s="340" t="s">
        <v>165</v>
      </c>
      <c r="U47" s="341" t="s">
        <v>165</v>
      </c>
      <c r="V47" s="342" t="s">
        <v>165</v>
      </c>
    </row>
    <row r="48" spans="1:22" ht="20.25" customHeight="1" x14ac:dyDescent="0.15">
      <c r="A48" s="794" t="s">
        <v>198</v>
      </c>
      <c r="B48" s="380" t="s">
        <v>189</v>
      </c>
      <c r="C48" s="404"/>
      <c r="D48" s="404"/>
      <c r="E48" s="404"/>
      <c r="F48" s="405"/>
      <c r="G48" s="405"/>
      <c r="H48" s="405"/>
      <c r="I48" s="405"/>
      <c r="J48" s="406"/>
      <c r="K48" s="406" t="s">
        <v>164</v>
      </c>
      <c r="L48" s="406" t="s">
        <v>164</v>
      </c>
      <c r="M48" s="406" t="s">
        <v>164</v>
      </c>
      <c r="N48" s="406" t="s">
        <v>164</v>
      </c>
      <c r="O48" s="362">
        <v>1575</v>
      </c>
      <c r="P48" s="345">
        <v>200</v>
      </c>
      <c r="Q48" s="375" t="s">
        <v>165</v>
      </c>
      <c r="R48" s="376" t="s">
        <v>165</v>
      </c>
      <c r="S48" s="376" t="s">
        <v>165</v>
      </c>
      <c r="T48" s="324" t="s">
        <v>165</v>
      </c>
      <c r="U48" s="325" t="s">
        <v>165</v>
      </c>
      <c r="V48" s="326" t="s">
        <v>165</v>
      </c>
    </row>
    <row r="49" spans="1:22" ht="20.25" customHeight="1" x14ac:dyDescent="0.15">
      <c r="A49" s="794"/>
      <c r="B49" s="295" t="s">
        <v>190</v>
      </c>
      <c r="C49" s="296"/>
      <c r="D49" s="296"/>
      <c r="E49" s="296"/>
      <c r="F49" s="317"/>
      <c r="G49" s="317"/>
      <c r="H49" s="317"/>
      <c r="I49" s="317"/>
      <c r="J49" s="327"/>
      <c r="K49" s="327" t="s">
        <v>164</v>
      </c>
      <c r="L49" s="317" t="s">
        <v>164</v>
      </c>
      <c r="M49" s="317" t="s">
        <v>164</v>
      </c>
      <c r="N49" s="327" t="s">
        <v>164</v>
      </c>
      <c r="O49" s="327" t="s">
        <v>164</v>
      </c>
      <c r="P49" s="299">
        <f>ROUND((P48/O48)*100,1)</f>
        <v>12.7</v>
      </c>
      <c r="Q49" s="328" t="s">
        <v>165</v>
      </c>
      <c r="R49" s="329" t="s">
        <v>165</v>
      </c>
      <c r="S49" s="329" t="s">
        <v>165</v>
      </c>
      <c r="T49" s="329" t="s">
        <v>165</v>
      </c>
      <c r="U49" s="330" t="s">
        <v>165</v>
      </c>
      <c r="V49" s="331" t="s">
        <v>165</v>
      </c>
    </row>
    <row r="50" spans="1:22" ht="20.25" customHeight="1" x14ac:dyDescent="0.15">
      <c r="A50" s="794"/>
      <c r="B50" s="295" t="s">
        <v>191</v>
      </c>
      <c r="C50" s="296"/>
      <c r="D50" s="296"/>
      <c r="E50" s="296"/>
      <c r="F50" s="317"/>
      <c r="G50" s="317"/>
      <c r="H50" s="317"/>
      <c r="I50" s="317"/>
      <c r="J50" s="327"/>
      <c r="K50" s="327" t="s">
        <v>164</v>
      </c>
      <c r="L50" s="327" t="s">
        <v>164</v>
      </c>
      <c r="M50" s="327" t="s">
        <v>164</v>
      </c>
      <c r="N50" s="327" t="s">
        <v>164</v>
      </c>
      <c r="O50" s="350">
        <v>147</v>
      </c>
      <c r="P50" s="351">
        <v>14</v>
      </c>
      <c r="Q50" s="318" t="s">
        <v>165</v>
      </c>
      <c r="R50" s="329" t="s">
        <v>165</v>
      </c>
      <c r="S50" s="329" t="s">
        <v>165</v>
      </c>
      <c r="T50" s="329" t="s">
        <v>165</v>
      </c>
      <c r="U50" s="330" t="s">
        <v>165</v>
      </c>
      <c r="V50" s="331" t="s">
        <v>165</v>
      </c>
    </row>
    <row r="51" spans="1:22" ht="20.25" customHeight="1" thickBot="1" x14ac:dyDescent="0.2">
      <c r="A51" s="795"/>
      <c r="B51" s="407" t="s">
        <v>190</v>
      </c>
      <c r="C51" s="408"/>
      <c r="D51" s="408"/>
      <c r="E51" s="408"/>
      <c r="F51" s="409"/>
      <c r="G51" s="409"/>
      <c r="H51" s="409"/>
      <c r="I51" s="409"/>
      <c r="J51" s="410"/>
      <c r="K51" s="410" t="s">
        <v>164</v>
      </c>
      <c r="L51" s="411" t="s">
        <v>164</v>
      </c>
      <c r="M51" s="411" t="s">
        <v>164</v>
      </c>
      <c r="N51" s="411" t="s">
        <v>164</v>
      </c>
      <c r="O51" s="411" t="s">
        <v>164</v>
      </c>
      <c r="P51" s="412">
        <f>ROUND((P50/O50)*100,1)</f>
        <v>9.5</v>
      </c>
      <c r="Q51" s="413" t="s">
        <v>165</v>
      </c>
      <c r="R51" s="414" t="s">
        <v>165</v>
      </c>
      <c r="S51" s="414" t="s">
        <v>165</v>
      </c>
      <c r="T51" s="414" t="s">
        <v>165</v>
      </c>
      <c r="U51" s="415" t="s">
        <v>165</v>
      </c>
      <c r="V51" s="416" t="s">
        <v>165</v>
      </c>
    </row>
    <row r="52" spans="1:22" ht="21.75" customHeight="1" x14ac:dyDescent="0.15">
      <c r="A52" s="278" t="s">
        <v>199</v>
      </c>
      <c r="B52" s="278"/>
      <c r="C52" s="278"/>
      <c r="D52" s="278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8"/>
    </row>
  </sheetData>
  <mergeCells count="12">
    <mergeCell ref="A48:A51"/>
    <mergeCell ref="A4:A7"/>
    <mergeCell ref="A8:A11"/>
    <mergeCell ref="A12:A15"/>
    <mergeCell ref="A16:A19"/>
    <mergeCell ref="A20:A23"/>
    <mergeCell ref="A24:A27"/>
    <mergeCell ref="A28:A31"/>
    <mergeCell ref="A32:A35"/>
    <mergeCell ref="A36:A39"/>
    <mergeCell ref="A40:A43"/>
    <mergeCell ref="A44:A47"/>
  </mergeCells>
  <phoneticPr fontId="4"/>
  <printOptions horizontalCentered="1"/>
  <pageMargins left="0.23622047244094491" right="0.23622047244094491" top="0.39370078740157483" bottom="0.39370078740157483" header="0.31496062992125984" footer="0.31496062992125984"/>
  <pageSetup paperSize="9" scale="80" orientation="portrait" horizontalDpi="300" verticalDpi="300" r:id="rId1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2D6B3-6B42-46FC-B2BF-3D1E70084933}">
  <sheetPr>
    <pageSetUpPr fitToPage="1"/>
  </sheetPr>
  <dimension ref="A1:AP41"/>
  <sheetViews>
    <sheetView view="pageBreakPreview" zoomScale="80" zoomScaleNormal="75" zoomScaleSheetLayoutView="80" workbookViewId="0">
      <pane xSplit="2" ySplit="5" topLeftCell="AG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21" customHeight="1" x14ac:dyDescent="0.15"/>
  <cols>
    <col min="1" max="1" width="20.5" style="418" customWidth="1"/>
    <col min="2" max="2" width="27.5" style="418" customWidth="1"/>
    <col min="3" max="3" width="11.875" style="418" hidden="1" customWidth="1"/>
    <col min="4" max="4" width="12.125" style="418" hidden="1" customWidth="1"/>
    <col min="5" max="5" width="9.875" style="418" hidden="1" customWidth="1"/>
    <col min="6" max="6" width="10.375" style="418" hidden="1" customWidth="1"/>
    <col min="7" max="20" width="12" style="418" hidden="1" customWidth="1"/>
    <col min="21" max="32" width="13.625" style="418" hidden="1" customWidth="1"/>
    <col min="33" max="42" width="13.625" style="418" customWidth="1"/>
    <col min="43" max="256" width="9" style="418"/>
    <col min="257" max="257" width="20.5" style="418" customWidth="1"/>
    <col min="258" max="258" width="27.5" style="418" customWidth="1"/>
    <col min="259" max="288" width="0" style="418" hidden="1" customWidth="1"/>
    <col min="289" max="298" width="13.625" style="418" customWidth="1"/>
    <col min="299" max="512" width="9" style="418"/>
    <col min="513" max="513" width="20.5" style="418" customWidth="1"/>
    <col min="514" max="514" width="27.5" style="418" customWidth="1"/>
    <col min="515" max="544" width="0" style="418" hidden="1" customWidth="1"/>
    <col min="545" max="554" width="13.625" style="418" customWidth="1"/>
    <col min="555" max="768" width="9" style="418"/>
    <col min="769" max="769" width="20.5" style="418" customWidth="1"/>
    <col min="770" max="770" width="27.5" style="418" customWidth="1"/>
    <col min="771" max="800" width="0" style="418" hidden="1" customWidth="1"/>
    <col min="801" max="810" width="13.625" style="418" customWidth="1"/>
    <col min="811" max="1024" width="9" style="418"/>
    <col min="1025" max="1025" width="20.5" style="418" customWidth="1"/>
    <col min="1026" max="1026" width="27.5" style="418" customWidth="1"/>
    <col min="1027" max="1056" width="0" style="418" hidden="1" customWidth="1"/>
    <col min="1057" max="1066" width="13.625" style="418" customWidth="1"/>
    <col min="1067" max="1280" width="9" style="418"/>
    <col min="1281" max="1281" width="20.5" style="418" customWidth="1"/>
    <col min="1282" max="1282" width="27.5" style="418" customWidth="1"/>
    <col min="1283" max="1312" width="0" style="418" hidden="1" customWidth="1"/>
    <col min="1313" max="1322" width="13.625" style="418" customWidth="1"/>
    <col min="1323" max="1536" width="9" style="418"/>
    <col min="1537" max="1537" width="20.5" style="418" customWidth="1"/>
    <col min="1538" max="1538" width="27.5" style="418" customWidth="1"/>
    <col min="1539" max="1568" width="0" style="418" hidden="1" customWidth="1"/>
    <col min="1569" max="1578" width="13.625" style="418" customWidth="1"/>
    <col min="1579" max="1792" width="9" style="418"/>
    <col min="1793" max="1793" width="20.5" style="418" customWidth="1"/>
    <col min="1794" max="1794" width="27.5" style="418" customWidth="1"/>
    <col min="1795" max="1824" width="0" style="418" hidden="1" customWidth="1"/>
    <col min="1825" max="1834" width="13.625" style="418" customWidth="1"/>
    <col min="1835" max="2048" width="9" style="418"/>
    <col min="2049" max="2049" width="20.5" style="418" customWidth="1"/>
    <col min="2050" max="2050" width="27.5" style="418" customWidth="1"/>
    <col min="2051" max="2080" width="0" style="418" hidden="1" customWidth="1"/>
    <col min="2081" max="2090" width="13.625" style="418" customWidth="1"/>
    <col min="2091" max="2304" width="9" style="418"/>
    <col min="2305" max="2305" width="20.5" style="418" customWidth="1"/>
    <col min="2306" max="2306" width="27.5" style="418" customWidth="1"/>
    <col min="2307" max="2336" width="0" style="418" hidden="1" customWidth="1"/>
    <col min="2337" max="2346" width="13.625" style="418" customWidth="1"/>
    <col min="2347" max="2560" width="9" style="418"/>
    <col min="2561" max="2561" width="20.5" style="418" customWidth="1"/>
    <col min="2562" max="2562" width="27.5" style="418" customWidth="1"/>
    <col min="2563" max="2592" width="0" style="418" hidden="1" customWidth="1"/>
    <col min="2593" max="2602" width="13.625" style="418" customWidth="1"/>
    <col min="2603" max="2816" width="9" style="418"/>
    <col min="2817" max="2817" width="20.5" style="418" customWidth="1"/>
    <col min="2818" max="2818" width="27.5" style="418" customWidth="1"/>
    <col min="2819" max="2848" width="0" style="418" hidden="1" customWidth="1"/>
    <col min="2849" max="2858" width="13.625" style="418" customWidth="1"/>
    <col min="2859" max="3072" width="9" style="418"/>
    <col min="3073" max="3073" width="20.5" style="418" customWidth="1"/>
    <col min="3074" max="3074" width="27.5" style="418" customWidth="1"/>
    <col min="3075" max="3104" width="0" style="418" hidden="1" customWidth="1"/>
    <col min="3105" max="3114" width="13.625" style="418" customWidth="1"/>
    <col min="3115" max="3328" width="9" style="418"/>
    <col min="3329" max="3329" width="20.5" style="418" customWidth="1"/>
    <col min="3330" max="3330" width="27.5" style="418" customWidth="1"/>
    <col min="3331" max="3360" width="0" style="418" hidden="1" customWidth="1"/>
    <col min="3361" max="3370" width="13.625" style="418" customWidth="1"/>
    <col min="3371" max="3584" width="9" style="418"/>
    <col min="3585" max="3585" width="20.5" style="418" customWidth="1"/>
    <col min="3586" max="3586" width="27.5" style="418" customWidth="1"/>
    <col min="3587" max="3616" width="0" style="418" hidden="1" customWidth="1"/>
    <col min="3617" max="3626" width="13.625" style="418" customWidth="1"/>
    <col min="3627" max="3840" width="9" style="418"/>
    <col min="3841" max="3841" width="20.5" style="418" customWidth="1"/>
    <col min="3842" max="3842" width="27.5" style="418" customWidth="1"/>
    <col min="3843" max="3872" width="0" style="418" hidden="1" customWidth="1"/>
    <col min="3873" max="3882" width="13.625" style="418" customWidth="1"/>
    <col min="3883" max="4096" width="9" style="418"/>
    <col min="4097" max="4097" width="20.5" style="418" customWidth="1"/>
    <col min="4098" max="4098" width="27.5" style="418" customWidth="1"/>
    <col min="4099" max="4128" width="0" style="418" hidden="1" customWidth="1"/>
    <col min="4129" max="4138" width="13.625" style="418" customWidth="1"/>
    <col min="4139" max="4352" width="9" style="418"/>
    <col min="4353" max="4353" width="20.5" style="418" customWidth="1"/>
    <col min="4354" max="4354" width="27.5" style="418" customWidth="1"/>
    <col min="4355" max="4384" width="0" style="418" hidden="1" customWidth="1"/>
    <col min="4385" max="4394" width="13.625" style="418" customWidth="1"/>
    <col min="4395" max="4608" width="9" style="418"/>
    <col min="4609" max="4609" width="20.5" style="418" customWidth="1"/>
    <col min="4610" max="4610" width="27.5" style="418" customWidth="1"/>
    <col min="4611" max="4640" width="0" style="418" hidden="1" customWidth="1"/>
    <col min="4641" max="4650" width="13.625" style="418" customWidth="1"/>
    <col min="4651" max="4864" width="9" style="418"/>
    <col min="4865" max="4865" width="20.5" style="418" customWidth="1"/>
    <col min="4866" max="4866" width="27.5" style="418" customWidth="1"/>
    <col min="4867" max="4896" width="0" style="418" hidden="1" customWidth="1"/>
    <col min="4897" max="4906" width="13.625" style="418" customWidth="1"/>
    <col min="4907" max="5120" width="9" style="418"/>
    <col min="5121" max="5121" width="20.5" style="418" customWidth="1"/>
    <col min="5122" max="5122" width="27.5" style="418" customWidth="1"/>
    <col min="5123" max="5152" width="0" style="418" hidden="1" customWidth="1"/>
    <col min="5153" max="5162" width="13.625" style="418" customWidth="1"/>
    <col min="5163" max="5376" width="9" style="418"/>
    <col min="5377" max="5377" width="20.5" style="418" customWidth="1"/>
    <col min="5378" max="5378" width="27.5" style="418" customWidth="1"/>
    <col min="5379" max="5408" width="0" style="418" hidden="1" customWidth="1"/>
    <col min="5409" max="5418" width="13.625" style="418" customWidth="1"/>
    <col min="5419" max="5632" width="9" style="418"/>
    <col min="5633" max="5633" width="20.5" style="418" customWidth="1"/>
    <col min="5634" max="5634" width="27.5" style="418" customWidth="1"/>
    <col min="5635" max="5664" width="0" style="418" hidden="1" customWidth="1"/>
    <col min="5665" max="5674" width="13.625" style="418" customWidth="1"/>
    <col min="5675" max="5888" width="9" style="418"/>
    <col min="5889" max="5889" width="20.5" style="418" customWidth="1"/>
    <col min="5890" max="5890" width="27.5" style="418" customWidth="1"/>
    <col min="5891" max="5920" width="0" style="418" hidden="1" customWidth="1"/>
    <col min="5921" max="5930" width="13.625" style="418" customWidth="1"/>
    <col min="5931" max="6144" width="9" style="418"/>
    <col min="6145" max="6145" width="20.5" style="418" customWidth="1"/>
    <col min="6146" max="6146" width="27.5" style="418" customWidth="1"/>
    <col min="6147" max="6176" width="0" style="418" hidden="1" customWidth="1"/>
    <col min="6177" max="6186" width="13.625" style="418" customWidth="1"/>
    <col min="6187" max="6400" width="9" style="418"/>
    <col min="6401" max="6401" width="20.5" style="418" customWidth="1"/>
    <col min="6402" max="6402" width="27.5" style="418" customWidth="1"/>
    <col min="6403" max="6432" width="0" style="418" hidden="1" customWidth="1"/>
    <col min="6433" max="6442" width="13.625" style="418" customWidth="1"/>
    <col min="6443" max="6656" width="9" style="418"/>
    <col min="6657" max="6657" width="20.5" style="418" customWidth="1"/>
    <col min="6658" max="6658" width="27.5" style="418" customWidth="1"/>
    <col min="6659" max="6688" width="0" style="418" hidden="1" customWidth="1"/>
    <col min="6689" max="6698" width="13.625" style="418" customWidth="1"/>
    <col min="6699" max="6912" width="9" style="418"/>
    <col min="6913" max="6913" width="20.5" style="418" customWidth="1"/>
    <col min="6914" max="6914" width="27.5" style="418" customWidth="1"/>
    <col min="6915" max="6944" width="0" style="418" hidden="1" customWidth="1"/>
    <col min="6945" max="6954" width="13.625" style="418" customWidth="1"/>
    <col min="6955" max="7168" width="9" style="418"/>
    <col min="7169" max="7169" width="20.5" style="418" customWidth="1"/>
    <col min="7170" max="7170" width="27.5" style="418" customWidth="1"/>
    <col min="7171" max="7200" width="0" style="418" hidden="1" customWidth="1"/>
    <col min="7201" max="7210" width="13.625" style="418" customWidth="1"/>
    <col min="7211" max="7424" width="9" style="418"/>
    <col min="7425" max="7425" width="20.5" style="418" customWidth="1"/>
    <col min="7426" max="7426" width="27.5" style="418" customWidth="1"/>
    <col min="7427" max="7456" width="0" style="418" hidden="1" customWidth="1"/>
    <col min="7457" max="7466" width="13.625" style="418" customWidth="1"/>
    <col min="7467" max="7680" width="9" style="418"/>
    <col min="7681" max="7681" width="20.5" style="418" customWidth="1"/>
    <col min="7682" max="7682" width="27.5" style="418" customWidth="1"/>
    <col min="7683" max="7712" width="0" style="418" hidden="1" customWidth="1"/>
    <col min="7713" max="7722" width="13.625" style="418" customWidth="1"/>
    <col min="7723" max="7936" width="9" style="418"/>
    <col min="7937" max="7937" width="20.5" style="418" customWidth="1"/>
    <col min="7938" max="7938" width="27.5" style="418" customWidth="1"/>
    <col min="7939" max="7968" width="0" style="418" hidden="1" customWidth="1"/>
    <col min="7969" max="7978" width="13.625" style="418" customWidth="1"/>
    <col min="7979" max="8192" width="9" style="418"/>
    <col min="8193" max="8193" width="20.5" style="418" customWidth="1"/>
    <col min="8194" max="8194" width="27.5" style="418" customWidth="1"/>
    <col min="8195" max="8224" width="0" style="418" hidden="1" customWidth="1"/>
    <col min="8225" max="8234" width="13.625" style="418" customWidth="1"/>
    <col min="8235" max="8448" width="9" style="418"/>
    <col min="8449" max="8449" width="20.5" style="418" customWidth="1"/>
    <col min="8450" max="8450" width="27.5" style="418" customWidth="1"/>
    <col min="8451" max="8480" width="0" style="418" hidden="1" customWidth="1"/>
    <col min="8481" max="8490" width="13.625" style="418" customWidth="1"/>
    <col min="8491" max="8704" width="9" style="418"/>
    <col min="8705" max="8705" width="20.5" style="418" customWidth="1"/>
    <col min="8706" max="8706" width="27.5" style="418" customWidth="1"/>
    <col min="8707" max="8736" width="0" style="418" hidden="1" customWidth="1"/>
    <col min="8737" max="8746" width="13.625" style="418" customWidth="1"/>
    <col min="8747" max="8960" width="9" style="418"/>
    <col min="8961" max="8961" width="20.5" style="418" customWidth="1"/>
    <col min="8962" max="8962" width="27.5" style="418" customWidth="1"/>
    <col min="8963" max="8992" width="0" style="418" hidden="1" customWidth="1"/>
    <col min="8993" max="9002" width="13.625" style="418" customWidth="1"/>
    <col min="9003" max="9216" width="9" style="418"/>
    <col min="9217" max="9217" width="20.5" style="418" customWidth="1"/>
    <col min="9218" max="9218" width="27.5" style="418" customWidth="1"/>
    <col min="9219" max="9248" width="0" style="418" hidden="1" customWidth="1"/>
    <col min="9249" max="9258" width="13.625" style="418" customWidth="1"/>
    <col min="9259" max="9472" width="9" style="418"/>
    <col min="9473" max="9473" width="20.5" style="418" customWidth="1"/>
    <col min="9474" max="9474" width="27.5" style="418" customWidth="1"/>
    <col min="9475" max="9504" width="0" style="418" hidden="1" customWidth="1"/>
    <col min="9505" max="9514" width="13.625" style="418" customWidth="1"/>
    <col min="9515" max="9728" width="9" style="418"/>
    <col min="9729" max="9729" width="20.5" style="418" customWidth="1"/>
    <col min="9730" max="9730" width="27.5" style="418" customWidth="1"/>
    <col min="9731" max="9760" width="0" style="418" hidden="1" customWidth="1"/>
    <col min="9761" max="9770" width="13.625" style="418" customWidth="1"/>
    <col min="9771" max="9984" width="9" style="418"/>
    <col min="9985" max="9985" width="20.5" style="418" customWidth="1"/>
    <col min="9986" max="9986" width="27.5" style="418" customWidth="1"/>
    <col min="9987" max="10016" width="0" style="418" hidden="1" customWidth="1"/>
    <col min="10017" max="10026" width="13.625" style="418" customWidth="1"/>
    <col min="10027" max="10240" width="9" style="418"/>
    <col min="10241" max="10241" width="20.5" style="418" customWidth="1"/>
    <col min="10242" max="10242" width="27.5" style="418" customWidth="1"/>
    <col min="10243" max="10272" width="0" style="418" hidden="1" customWidth="1"/>
    <col min="10273" max="10282" width="13.625" style="418" customWidth="1"/>
    <col min="10283" max="10496" width="9" style="418"/>
    <col min="10497" max="10497" width="20.5" style="418" customWidth="1"/>
    <col min="10498" max="10498" width="27.5" style="418" customWidth="1"/>
    <col min="10499" max="10528" width="0" style="418" hidden="1" customWidth="1"/>
    <col min="10529" max="10538" width="13.625" style="418" customWidth="1"/>
    <col min="10539" max="10752" width="9" style="418"/>
    <col min="10753" max="10753" width="20.5" style="418" customWidth="1"/>
    <col min="10754" max="10754" width="27.5" style="418" customWidth="1"/>
    <col min="10755" max="10784" width="0" style="418" hidden="1" customWidth="1"/>
    <col min="10785" max="10794" width="13.625" style="418" customWidth="1"/>
    <col min="10795" max="11008" width="9" style="418"/>
    <col min="11009" max="11009" width="20.5" style="418" customWidth="1"/>
    <col min="11010" max="11010" width="27.5" style="418" customWidth="1"/>
    <col min="11011" max="11040" width="0" style="418" hidden="1" customWidth="1"/>
    <col min="11041" max="11050" width="13.625" style="418" customWidth="1"/>
    <col min="11051" max="11264" width="9" style="418"/>
    <col min="11265" max="11265" width="20.5" style="418" customWidth="1"/>
    <col min="11266" max="11266" width="27.5" style="418" customWidth="1"/>
    <col min="11267" max="11296" width="0" style="418" hidden="1" customWidth="1"/>
    <col min="11297" max="11306" width="13.625" style="418" customWidth="1"/>
    <col min="11307" max="11520" width="9" style="418"/>
    <col min="11521" max="11521" width="20.5" style="418" customWidth="1"/>
    <col min="11522" max="11522" width="27.5" style="418" customWidth="1"/>
    <col min="11523" max="11552" width="0" style="418" hidden="1" customWidth="1"/>
    <col min="11553" max="11562" width="13.625" style="418" customWidth="1"/>
    <col min="11563" max="11776" width="9" style="418"/>
    <col min="11777" max="11777" width="20.5" style="418" customWidth="1"/>
    <col min="11778" max="11778" width="27.5" style="418" customWidth="1"/>
    <col min="11779" max="11808" width="0" style="418" hidden="1" customWidth="1"/>
    <col min="11809" max="11818" width="13.625" style="418" customWidth="1"/>
    <col min="11819" max="12032" width="9" style="418"/>
    <col min="12033" max="12033" width="20.5" style="418" customWidth="1"/>
    <col min="12034" max="12034" width="27.5" style="418" customWidth="1"/>
    <col min="12035" max="12064" width="0" style="418" hidden="1" customWidth="1"/>
    <col min="12065" max="12074" width="13.625" style="418" customWidth="1"/>
    <col min="12075" max="12288" width="9" style="418"/>
    <col min="12289" max="12289" width="20.5" style="418" customWidth="1"/>
    <col min="12290" max="12290" width="27.5" style="418" customWidth="1"/>
    <col min="12291" max="12320" width="0" style="418" hidden="1" customWidth="1"/>
    <col min="12321" max="12330" width="13.625" style="418" customWidth="1"/>
    <col min="12331" max="12544" width="9" style="418"/>
    <col min="12545" max="12545" width="20.5" style="418" customWidth="1"/>
    <col min="12546" max="12546" width="27.5" style="418" customWidth="1"/>
    <col min="12547" max="12576" width="0" style="418" hidden="1" customWidth="1"/>
    <col min="12577" max="12586" width="13.625" style="418" customWidth="1"/>
    <col min="12587" max="12800" width="9" style="418"/>
    <col min="12801" max="12801" width="20.5" style="418" customWidth="1"/>
    <col min="12802" max="12802" width="27.5" style="418" customWidth="1"/>
    <col min="12803" max="12832" width="0" style="418" hidden="1" customWidth="1"/>
    <col min="12833" max="12842" width="13.625" style="418" customWidth="1"/>
    <col min="12843" max="13056" width="9" style="418"/>
    <col min="13057" max="13057" width="20.5" style="418" customWidth="1"/>
    <col min="13058" max="13058" width="27.5" style="418" customWidth="1"/>
    <col min="13059" max="13088" width="0" style="418" hidden="1" customWidth="1"/>
    <col min="13089" max="13098" width="13.625" style="418" customWidth="1"/>
    <col min="13099" max="13312" width="9" style="418"/>
    <col min="13313" max="13313" width="20.5" style="418" customWidth="1"/>
    <col min="13314" max="13314" width="27.5" style="418" customWidth="1"/>
    <col min="13315" max="13344" width="0" style="418" hidden="1" customWidth="1"/>
    <col min="13345" max="13354" width="13.625" style="418" customWidth="1"/>
    <col min="13355" max="13568" width="9" style="418"/>
    <col min="13569" max="13569" width="20.5" style="418" customWidth="1"/>
    <col min="13570" max="13570" width="27.5" style="418" customWidth="1"/>
    <col min="13571" max="13600" width="0" style="418" hidden="1" customWidth="1"/>
    <col min="13601" max="13610" width="13.625" style="418" customWidth="1"/>
    <col min="13611" max="13824" width="9" style="418"/>
    <col min="13825" max="13825" width="20.5" style="418" customWidth="1"/>
    <col min="13826" max="13826" width="27.5" style="418" customWidth="1"/>
    <col min="13827" max="13856" width="0" style="418" hidden="1" customWidth="1"/>
    <col min="13857" max="13866" width="13.625" style="418" customWidth="1"/>
    <col min="13867" max="14080" width="9" style="418"/>
    <col min="14081" max="14081" width="20.5" style="418" customWidth="1"/>
    <col min="14082" max="14082" width="27.5" style="418" customWidth="1"/>
    <col min="14083" max="14112" width="0" style="418" hidden="1" customWidth="1"/>
    <col min="14113" max="14122" width="13.625" style="418" customWidth="1"/>
    <col min="14123" max="14336" width="9" style="418"/>
    <col min="14337" max="14337" width="20.5" style="418" customWidth="1"/>
    <col min="14338" max="14338" width="27.5" style="418" customWidth="1"/>
    <col min="14339" max="14368" width="0" style="418" hidden="1" customWidth="1"/>
    <col min="14369" max="14378" width="13.625" style="418" customWidth="1"/>
    <col min="14379" max="14592" width="9" style="418"/>
    <col min="14593" max="14593" width="20.5" style="418" customWidth="1"/>
    <col min="14594" max="14594" width="27.5" style="418" customWidth="1"/>
    <col min="14595" max="14624" width="0" style="418" hidden="1" customWidth="1"/>
    <col min="14625" max="14634" width="13.625" style="418" customWidth="1"/>
    <col min="14635" max="14848" width="9" style="418"/>
    <col min="14849" max="14849" width="20.5" style="418" customWidth="1"/>
    <col min="14850" max="14850" width="27.5" style="418" customWidth="1"/>
    <col min="14851" max="14880" width="0" style="418" hidden="1" customWidth="1"/>
    <col min="14881" max="14890" width="13.625" style="418" customWidth="1"/>
    <col min="14891" max="15104" width="9" style="418"/>
    <col min="15105" max="15105" width="20.5" style="418" customWidth="1"/>
    <col min="15106" max="15106" width="27.5" style="418" customWidth="1"/>
    <col min="15107" max="15136" width="0" style="418" hidden="1" customWidth="1"/>
    <col min="15137" max="15146" width="13.625" style="418" customWidth="1"/>
    <col min="15147" max="15360" width="9" style="418"/>
    <col min="15361" max="15361" width="20.5" style="418" customWidth="1"/>
    <col min="15362" max="15362" width="27.5" style="418" customWidth="1"/>
    <col min="15363" max="15392" width="0" style="418" hidden="1" customWidth="1"/>
    <col min="15393" max="15402" width="13.625" style="418" customWidth="1"/>
    <col min="15403" max="15616" width="9" style="418"/>
    <col min="15617" max="15617" width="20.5" style="418" customWidth="1"/>
    <col min="15618" max="15618" width="27.5" style="418" customWidth="1"/>
    <col min="15619" max="15648" width="0" style="418" hidden="1" customWidth="1"/>
    <col min="15649" max="15658" width="13.625" style="418" customWidth="1"/>
    <col min="15659" max="15872" width="9" style="418"/>
    <col min="15873" max="15873" width="20.5" style="418" customWidth="1"/>
    <col min="15874" max="15874" width="27.5" style="418" customWidth="1"/>
    <col min="15875" max="15904" width="0" style="418" hidden="1" customWidth="1"/>
    <col min="15905" max="15914" width="13.625" style="418" customWidth="1"/>
    <col min="15915" max="16128" width="9" style="418"/>
    <col min="16129" max="16129" width="20.5" style="418" customWidth="1"/>
    <col min="16130" max="16130" width="27.5" style="418" customWidth="1"/>
    <col min="16131" max="16160" width="0" style="418" hidden="1" customWidth="1"/>
    <col min="16161" max="16170" width="13.625" style="418" customWidth="1"/>
    <col min="16171" max="16384" width="9" style="418"/>
  </cols>
  <sheetData>
    <row r="1" spans="1:42" ht="24.75" customHeight="1" x14ac:dyDescent="0.15">
      <c r="A1" s="1"/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7"/>
      <c r="AA1" s="417"/>
      <c r="AB1" s="417"/>
      <c r="AC1" s="417"/>
      <c r="AD1" s="417"/>
      <c r="AE1" s="417"/>
      <c r="AF1" s="417"/>
      <c r="AG1" s="417"/>
      <c r="AH1" s="417"/>
      <c r="AI1" s="417"/>
      <c r="AJ1" s="417"/>
      <c r="AK1" s="417"/>
      <c r="AL1" s="417"/>
      <c r="AM1" s="417"/>
      <c r="AN1" s="417"/>
      <c r="AO1" s="417"/>
      <c r="AP1" s="417"/>
    </row>
    <row r="2" spans="1:42" ht="24.75" customHeight="1" x14ac:dyDescent="0.15">
      <c r="A2" s="419" t="s">
        <v>200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417"/>
      <c r="AE2" s="417"/>
      <c r="AF2" s="417"/>
      <c r="AG2" s="417"/>
      <c r="AH2" s="417"/>
      <c r="AI2" s="417"/>
      <c r="AJ2" s="417"/>
      <c r="AK2" s="417"/>
      <c r="AL2" s="417"/>
      <c r="AM2" s="417"/>
      <c r="AN2" s="417"/>
      <c r="AO2" s="417"/>
      <c r="AP2" s="417"/>
    </row>
    <row r="3" spans="1:42" ht="24.75" customHeight="1" thickBot="1" x14ac:dyDescent="0.2">
      <c r="A3" s="417" t="s">
        <v>201</v>
      </c>
      <c r="B3" s="417"/>
      <c r="C3" s="417"/>
      <c r="D3" s="420"/>
      <c r="E3" s="417"/>
      <c r="F3" s="420"/>
      <c r="G3" s="417"/>
      <c r="H3" s="420"/>
      <c r="I3" s="420"/>
      <c r="J3" s="420"/>
      <c r="K3" s="417"/>
      <c r="L3" s="420"/>
      <c r="M3" s="417"/>
      <c r="N3" s="420"/>
      <c r="O3" s="417"/>
      <c r="P3" s="420"/>
      <c r="Q3" s="417"/>
      <c r="R3" s="420"/>
      <c r="S3" s="417"/>
      <c r="T3" s="420"/>
      <c r="U3" s="417"/>
      <c r="V3" s="420"/>
      <c r="W3" s="420"/>
      <c r="X3" s="420"/>
      <c r="Y3" s="417"/>
      <c r="Z3" s="420"/>
      <c r="AA3" s="417"/>
      <c r="AB3" s="420"/>
      <c r="AC3" s="417"/>
      <c r="AD3" s="420"/>
      <c r="AE3" s="417"/>
      <c r="AF3" s="420"/>
      <c r="AG3" s="417"/>
      <c r="AH3" s="420"/>
      <c r="AI3" s="417"/>
      <c r="AJ3" s="420"/>
      <c r="AK3" s="417"/>
      <c r="AL3" s="420"/>
      <c r="AM3" s="417"/>
      <c r="AN3" s="420"/>
      <c r="AO3" s="417"/>
      <c r="AP3" s="420" t="s">
        <v>51</v>
      </c>
    </row>
    <row r="4" spans="1:42" ht="27.95" customHeight="1" x14ac:dyDescent="0.15">
      <c r="A4" s="805" t="s">
        <v>202</v>
      </c>
      <c r="B4" s="806"/>
      <c r="C4" s="752" t="s">
        <v>4</v>
      </c>
      <c r="D4" s="752"/>
      <c r="E4" s="752" t="s">
        <v>88</v>
      </c>
      <c r="F4" s="752"/>
      <c r="G4" s="711" t="s">
        <v>6</v>
      </c>
      <c r="H4" s="711"/>
      <c r="I4" s="752" t="s">
        <v>7</v>
      </c>
      <c r="J4" s="752"/>
      <c r="K4" s="752" t="s">
        <v>8</v>
      </c>
      <c r="L4" s="752"/>
      <c r="M4" s="752" t="s">
        <v>9</v>
      </c>
      <c r="N4" s="752"/>
      <c r="O4" s="752" t="s">
        <v>10</v>
      </c>
      <c r="P4" s="804"/>
      <c r="Q4" s="752" t="s">
        <v>11</v>
      </c>
      <c r="R4" s="804"/>
      <c r="S4" s="752" t="s">
        <v>163</v>
      </c>
      <c r="T4" s="752"/>
      <c r="U4" s="804" t="s">
        <v>13</v>
      </c>
      <c r="V4" s="809"/>
      <c r="W4" s="804" t="s">
        <v>132</v>
      </c>
      <c r="X4" s="711"/>
      <c r="Y4" s="804" t="s">
        <v>133</v>
      </c>
      <c r="Z4" s="711"/>
      <c r="AA4" s="809" t="s">
        <v>37</v>
      </c>
      <c r="AB4" s="809"/>
      <c r="AC4" s="804" t="s">
        <v>38</v>
      </c>
      <c r="AD4" s="809"/>
      <c r="AE4" s="804" t="s">
        <v>39</v>
      </c>
      <c r="AF4" s="809"/>
      <c r="AG4" s="804" t="s">
        <v>134</v>
      </c>
      <c r="AH4" s="711"/>
      <c r="AI4" s="804" t="s">
        <v>41</v>
      </c>
      <c r="AJ4" s="711"/>
      <c r="AK4" s="804" t="s">
        <v>42</v>
      </c>
      <c r="AL4" s="809"/>
      <c r="AM4" s="752" t="s">
        <v>43</v>
      </c>
      <c r="AN4" s="752"/>
      <c r="AO4" s="810" t="s">
        <v>44</v>
      </c>
      <c r="AP4" s="811"/>
    </row>
    <row r="5" spans="1:42" ht="27.95" customHeight="1" x14ac:dyDescent="0.15">
      <c r="A5" s="807"/>
      <c r="B5" s="808"/>
      <c r="C5" s="421" t="s">
        <v>156</v>
      </c>
      <c r="D5" s="421" t="s">
        <v>77</v>
      </c>
      <c r="E5" s="421" t="s">
        <v>156</v>
      </c>
      <c r="F5" s="421" t="s">
        <v>77</v>
      </c>
      <c r="G5" s="422" t="s">
        <v>156</v>
      </c>
      <c r="H5" s="422" t="s">
        <v>77</v>
      </c>
      <c r="I5" s="421" t="s">
        <v>156</v>
      </c>
      <c r="J5" s="421" t="s">
        <v>77</v>
      </c>
      <c r="K5" s="421" t="s">
        <v>156</v>
      </c>
      <c r="L5" s="421" t="s">
        <v>77</v>
      </c>
      <c r="M5" s="421" t="s">
        <v>156</v>
      </c>
      <c r="N5" s="421" t="s">
        <v>77</v>
      </c>
      <c r="O5" s="421" t="s">
        <v>156</v>
      </c>
      <c r="P5" s="423" t="s">
        <v>77</v>
      </c>
      <c r="Q5" s="421" t="s">
        <v>156</v>
      </c>
      <c r="R5" s="423" t="s">
        <v>77</v>
      </c>
      <c r="S5" s="421" t="s">
        <v>156</v>
      </c>
      <c r="T5" s="421" t="s">
        <v>77</v>
      </c>
      <c r="U5" s="422" t="s">
        <v>203</v>
      </c>
      <c r="V5" s="424" t="s">
        <v>204</v>
      </c>
      <c r="W5" s="421" t="s">
        <v>203</v>
      </c>
      <c r="X5" s="422" t="s">
        <v>204</v>
      </c>
      <c r="Y5" s="421" t="s">
        <v>203</v>
      </c>
      <c r="Z5" s="422" t="s">
        <v>204</v>
      </c>
      <c r="AA5" s="422" t="s">
        <v>203</v>
      </c>
      <c r="AB5" s="424" t="s">
        <v>204</v>
      </c>
      <c r="AC5" s="421" t="s">
        <v>203</v>
      </c>
      <c r="AD5" s="424" t="s">
        <v>204</v>
      </c>
      <c r="AE5" s="421" t="s">
        <v>203</v>
      </c>
      <c r="AF5" s="424" t="s">
        <v>204</v>
      </c>
      <c r="AG5" s="421" t="s">
        <v>203</v>
      </c>
      <c r="AH5" s="422" t="s">
        <v>204</v>
      </c>
      <c r="AI5" s="421" t="s">
        <v>203</v>
      </c>
      <c r="AJ5" s="422" t="s">
        <v>204</v>
      </c>
      <c r="AK5" s="421" t="s">
        <v>203</v>
      </c>
      <c r="AL5" s="424" t="s">
        <v>204</v>
      </c>
      <c r="AM5" s="421" t="s">
        <v>203</v>
      </c>
      <c r="AN5" s="421" t="s">
        <v>204</v>
      </c>
      <c r="AO5" s="425" t="s">
        <v>203</v>
      </c>
      <c r="AP5" s="426" t="s">
        <v>204</v>
      </c>
    </row>
    <row r="6" spans="1:42" ht="27.95" customHeight="1" x14ac:dyDescent="0.15">
      <c r="A6" s="427" t="s">
        <v>205</v>
      </c>
      <c r="B6" s="428" t="s">
        <v>206</v>
      </c>
      <c r="C6" s="80">
        <v>337484</v>
      </c>
      <c r="D6" s="80">
        <v>117221</v>
      </c>
      <c r="E6" s="80">
        <v>308906</v>
      </c>
      <c r="F6" s="80">
        <v>108117</v>
      </c>
      <c r="G6" s="429">
        <v>289064</v>
      </c>
      <c r="H6" s="429">
        <v>101172</v>
      </c>
      <c r="I6" s="80">
        <v>273902</v>
      </c>
      <c r="J6" s="80">
        <v>95866</v>
      </c>
      <c r="K6" s="80">
        <v>272902</v>
      </c>
      <c r="L6" s="80">
        <v>95516</v>
      </c>
      <c r="M6" s="80">
        <v>236270</v>
      </c>
      <c r="N6" s="80">
        <v>82426</v>
      </c>
      <c r="O6" s="80">
        <v>230416</v>
      </c>
      <c r="P6" s="82">
        <v>80645</v>
      </c>
      <c r="Q6" s="80">
        <v>217800</v>
      </c>
      <c r="R6" s="82">
        <v>76230</v>
      </c>
      <c r="S6" s="80">
        <v>207636</v>
      </c>
      <c r="T6" s="80">
        <v>72672</v>
      </c>
      <c r="U6" s="429">
        <v>200454</v>
      </c>
      <c r="V6" s="81">
        <v>70159</v>
      </c>
      <c r="W6" s="85">
        <v>193270</v>
      </c>
      <c r="X6" s="430">
        <v>67645</v>
      </c>
      <c r="Y6" s="85">
        <v>190488</v>
      </c>
      <c r="Z6" s="430">
        <v>66670</v>
      </c>
      <c r="AA6" s="430">
        <v>188516</v>
      </c>
      <c r="AB6" s="93">
        <v>65981</v>
      </c>
      <c r="AC6" s="85">
        <v>187510</v>
      </c>
      <c r="AD6" s="93">
        <v>65628</v>
      </c>
      <c r="AE6" s="85">
        <v>188620</v>
      </c>
      <c r="AF6" s="93">
        <v>66017</v>
      </c>
      <c r="AG6" s="85">
        <v>187414</v>
      </c>
      <c r="AH6" s="430">
        <v>65595</v>
      </c>
      <c r="AI6" s="85">
        <v>187222</v>
      </c>
      <c r="AJ6" s="430">
        <v>65528</v>
      </c>
      <c r="AK6" s="85">
        <v>185182</v>
      </c>
      <c r="AL6" s="93">
        <v>64814</v>
      </c>
      <c r="AM6" s="85">
        <v>184234</v>
      </c>
      <c r="AN6" s="85">
        <v>64482</v>
      </c>
      <c r="AO6" s="198">
        <v>184224</v>
      </c>
      <c r="AP6" s="431">
        <v>64478</v>
      </c>
    </row>
    <row r="7" spans="1:42" ht="27.95" customHeight="1" x14ac:dyDescent="0.15">
      <c r="A7" s="432" t="s">
        <v>207</v>
      </c>
      <c r="B7" s="433" t="s">
        <v>208</v>
      </c>
      <c r="C7" s="434">
        <v>0</v>
      </c>
      <c r="D7" s="434">
        <v>0</v>
      </c>
      <c r="E7" s="434">
        <v>0</v>
      </c>
      <c r="F7" s="434">
        <v>0</v>
      </c>
      <c r="G7" s="435">
        <v>0</v>
      </c>
      <c r="H7" s="435">
        <v>0</v>
      </c>
      <c r="I7" s="435">
        <v>0</v>
      </c>
      <c r="J7" s="435">
        <v>0</v>
      </c>
      <c r="K7" s="435">
        <v>0</v>
      </c>
      <c r="L7" s="435">
        <v>0</v>
      </c>
      <c r="M7" s="435">
        <v>0</v>
      </c>
      <c r="N7" s="435">
        <v>0</v>
      </c>
      <c r="O7" s="434">
        <v>0</v>
      </c>
      <c r="P7" s="436">
        <v>0</v>
      </c>
      <c r="Q7" s="434">
        <v>0</v>
      </c>
      <c r="R7" s="436">
        <v>0</v>
      </c>
      <c r="S7" s="434">
        <v>0</v>
      </c>
      <c r="T7" s="434">
        <v>0</v>
      </c>
      <c r="U7" s="435" t="s">
        <v>164</v>
      </c>
      <c r="V7" s="437" t="s">
        <v>164</v>
      </c>
      <c r="W7" s="438" t="s">
        <v>165</v>
      </c>
      <c r="X7" s="439" t="s">
        <v>164</v>
      </c>
      <c r="Y7" s="438">
        <v>38630</v>
      </c>
      <c r="Z7" s="439">
        <v>13520</v>
      </c>
      <c r="AA7" s="439">
        <v>36956</v>
      </c>
      <c r="AB7" s="440">
        <v>12934</v>
      </c>
      <c r="AC7" s="438">
        <v>36854</v>
      </c>
      <c r="AD7" s="440">
        <v>12899</v>
      </c>
      <c r="AE7" s="438">
        <v>35950</v>
      </c>
      <c r="AF7" s="440">
        <v>12583</v>
      </c>
      <c r="AG7" s="438">
        <v>35910</v>
      </c>
      <c r="AH7" s="439">
        <v>12569</v>
      </c>
      <c r="AI7" s="438">
        <v>35820</v>
      </c>
      <c r="AJ7" s="439">
        <v>12537</v>
      </c>
      <c r="AK7" s="438">
        <v>35110</v>
      </c>
      <c r="AL7" s="440">
        <v>12289</v>
      </c>
      <c r="AM7" s="438">
        <v>34654</v>
      </c>
      <c r="AN7" s="438">
        <v>12129</v>
      </c>
      <c r="AO7" s="441">
        <v>34512</v>
      </c>
      <c r="AP7" s="442">
        <v>12079</v>
      </c>
    </row>
    <row r="8" spans="1:42" ht="27.95" customHeight="1" x14ac:dyDescent="0.15">
      <c r="A8" s="443" t="s">
        <v>209</v>
      </c>
      <c r="B8" s="444" t="s">
        <v>210</v>
      </c>
      <c r="C8" s="434">
        <v>0</v>
      </c>
      <c r="D8" s="434">
        <v>0</v>
      </c>
      <c r="E8" s="434">
        <v>0</v>
      </c>
      <c r="F8" s="434">
        <v>0</v>
      </c>
      <c r="G8" s="435">
        <v>0</v>
      </c>
      <c r="H8" s="435">
        <v>0</v>
      </c>
      <c r="I8" s="435">
        <v>0</v>
      </c>
      <c r="J8" s="435">
        <v>0</v>
      </c>
      <c r="K8" s="434">
        <v>796440</v>
      </c>
      <c r="L8" s="434">
        <v>278754</v>
      </c>
      <c r="M8" s="434">
        <v>793652</v>
      </c>
      <c r="N8" s="434">
        <v>277352</v>
      </c>
      <c r="O8" s="434">
        <v>777516</v>
      </c>
      <c r="P8" s="436">
        <v>272087</v>
      </c>
      <c r="Q8" s="434">
        <v>749976</v>
      </c>
      <c r="R8" s="436">
        <v>262449</v>
      </c>
      <c r="S8" s="434">
        <v>722048</v>
      </c>
      <c r="T8" s="434">
        <v>252716</v>
      </c>
      <c r="U8" s="435">
        <v>752257</v>
      </c>
      <c r="V8" s="437">
        <v>315948</v>
      </c>
      <c r="W8" s="89">
        <v>881470</v>
      </c>
      <c r="X8" s="445">
        <v>370217</v>
      </c>
      <c r="Y8" s="89">
        <v>890217</v>
      </c>
      <c r="Z8" s="445">
        <v>365310</v>
      </c>
      <c r="AA8" s="445">
        <v>882543</v>
      </c>
      <c r="AB8" s="90">
        <v>483585</v>
      </c>
      <c r="AC8" s="89">
        <v>890409</v>
      </c>
      <c r="AD8" s="90">
        <v>488472</v>
      </c>
      <c r="AE8" s="89">
        <v>870244</v>
      </c>
      <c r="AF8" s="90">
        <v>507643</v>
      </c>
      <c r="AG8" s="89">
        <v>868637</v>
      </c>
      <c r="AH8" s="445">
        <v>506705</v>
      </c>
      <c r="AI8" s="695" t="s">
        <v>164</v>
      </c>
      <c r="AJ8" s="696" t="s">
        <v>164</v>
      </c>
      <c r="AK8" s="695" t="s">
        <v>165</v>
      </c>
      <c r="AL8" s="697" t="s">
        <v>165</v>
      </c>
      <c r="AM8" s="695" t="s">
        <v>165</v>
      </c>
      <c r="AN8" s="695" t="s">
        <v>165</v>
      </c>
      <c r="AO8" s="698" t="s">
        <v>165</v>
      </c>
      <c r="AP8" s="699" t="s">
        <v>165</v>
      </c>
    </row>
    <row r="9" spans="1:42" ht="27.95" hidden="1" customHeight="1" x14ac:dyDescent="0.15">
      <c r="A9" s="432" t="s">
        <v>211</v>
      </c>
      <c r="B9" s="433" t="s">
        <v>212</v>
      </c>
      <c r="C9" s="434">
        <v>0</v>
      </c>
      <c r="D9" s="434">
        <v>0</v>
      </c>
      <c r="E9" s="434">
        <v>0</v>
      </c>
      <c r="F9" s="434">
        <v>0</v>
      </c>
      <c r="G9" s="435">
        <v>0</v>
      </c>
      <c r="H9" s="435">
        <v>0</v>
      </c>
      <c r="I9" s="435">
        <v>0</v>
      </c>
      <c r="J9" s="435">
        <v>0</v>
      </c>
      <c r="K9" s="434">
        <v>87024</v>
      </c>
      <c r="L9" s="434">
        <v>30458</v>
      </c>
      <c r="M9" s="434">
        <v>112410</v>
      </c>
      <c r="N9" s="434">
        <v>39344</v>
      </c>
      <c r="O9" s="434">
        <v>0</v>
      </c>
      <c r="P9" s="436">
        <v>0</v>
      </c>
      <c r="Q9" s="434">
        <v>0</v>
      </c>
      <c r="R9" s="436">
        <v>0</v>
      </c>
      <c r="S9" s="434">
        <v>0</v>
      </c>
      <c r="T9" s="434">
        <v>0</v>
      </c>
      <c r="U9" s="435" t="s">
        <v>164</v>
      </c>
      <c r="V9" s="437" t="s">
        <v>164</v>
      </c>
      <c r="W9" s="438" t="s">
        <v>165</v>
      </c>
      <c r="X9" s="439" t="s">
        <v>164</v>
      </c>
      <c r="Y9" s="438" t="s">
        <v>165</v>
      </c>
      <c r="Z9" s="439" t="s">
        <v>164</v>
      </c>
      <c r="AA9" s="439" t="s">
        <v>165</v>
      </c>
      <c r="AB9" s="440" t="s">
        <v>164</v>
      </c>
      <c r="AC9" s="438" t="s">
        <v>165</v>
      </c>
      <c r="AD9" s="440" t="s">
        <v>164</v>
      </c>
      <c r="AE9" s="438" t="s">
        <v>165</v>
      </c>
      <c r="AF9" s="440" t="s">
        <v>164</v>
      </c>
      <c r="AG9" s="438" t="s">
        <v>165</v>
      </c>
      <c r="AH9" s="439" t="s">
        <v>164</v>
      </c>
      <c r="AI9" s="438"/>
      <c r="AJ9" s="439"/>
      <c r="AK9" s="438"/>
      <c r="AL9" s="440"/>
      <c r="AM9" s="438"/>
      <c r="AN9" s="438"/>
      <c r="AO9" s="446"/>
      <c r="AP9" s="447"/>
    </row>
    <row r="10" spans="1:42" ht="27.95" customHeight="1" x14ac:dyDescent="0.15">
      <c r="A10" s="432" t="s">
        <v>213</v>
      </c>
      <c r="B10" s="448" t="s">
        <v>214</v>
      </c>
      <c r="C10" s="434">
        <v>0</v>
      </c>
      <c r="D10" s="434">
        <v>0</v>
      </c>
      <c r="E10" s="434">
        <v>0</v>
      </c>
      <c r="F10" s="434">
        <v>0</v>
      </c>
      <c r="G10" s="435">
        <v>0</v>
      </c>
      <c r="H10" s="435">
        <v>0</v>
      </c>
      <c r="I10" s="435">
        <v>0</v>
      </c>
      <c r="J10" s="435">
        <v>0</v>
      </c>
      <c r="K10" s="435">
        <v>0</v>
      </c>
      <c r="L10" s="435">
        <v>0</v>
      </c>
      <c r="M10" s="435">
        <v>0</v>
      </c>
      <c r="N10" s="435">
        <v>0</v>
      </c>
      <c r="O10" s="434">
        <v>0</v>
      </c>
      <c r="P10" s="436">
        <v>0</v>
      </c>
      <c r="Q10" s="434">
        <v>0</v>
      </c>
      <c r="R10" s="436">
        <v>0</v>
      </c>
      <c r="S10" s="434">
        <v>0</v>
      </c>
      <c r="T10" s="434">
        <v>0</v>
      </c>
      <c r="U10" s="435" t="s">
        <v>164</v>
      </c>
      <c r="V10" s="437" t="s">
        <v>164</v>
      </c>
      <c r="W10" s="438" t="s">
        <v>165</v>
      </c>
      <c r="X10" s="439" t="s">
        <v>164</v>
      </c>
      <c r="Y10" s="438" t="s">
        <v>165</v>
      </c>
      <c r="Z10" s="439" t="s">
        <v>164</v>
      </c>
      <c r="AA10" s="439" t="s">
        <v>165</v>
      </c>
      <c r="AB10" s="440" t="s">
        <v>164</v>
      </c>
      <c r="AC10" s="438">
        <v>3568</v>
      </c>
      <c r="AD10" s="440">
        <v>1784</v>
      </c>
      <c r="AE10" s="438">
        <v>7450</v>
      </c>
      <c r="AF10" s="440">
        <v>3725</v>
      </c>
      <c r="AG10" s="438">
        <v>8746</v>
      </c>
      <c r="AH10" s="439">
        <v>4373</v>
      </c>
      <c r="AI10" s="438">
        <v>5822</v>
      </c>
      <c r="AJ10" s="439">
        <v>2911</v>
      </c>
      <c r="AK10" s="438">
        <v>9112</v>
      </c>
      <c r="AL10" s="440">
        <v>4556</v>
      </c>
      <c r="AM10" s="438">
        <f>25276+136</f>
        <v>25412</v>
      </c>
      <c r="AN10" s="438">
        <f>12638+68</f>
        <v>12706</v>
      </c>
      <c r="AO10" s="441">
        <v>34274</v>
      </c>
      <c r="AP10" s="442">
        <v>17137</v>
      </c>
    </row>
    <row r="11" spans="1:42" ht="27.95" customHeight="1" x14ac:dyDescent="0.15">
      <c r="A11" s="432" t="s">
        <v>213</v>
      </c>
      <c r="B11" s="448" t="s">
        <v>215</v>
      </c>
      <c r="C11" s="434">
        <v>0</v>
      </c>
      <c r="D11" s="434">
        <v>0</v>
      </c>
      <c r="E11" s="434">
        <v>0</v>
      </c>
      <c r="F11" s="434">
        <v>0</v>
      </c>
      <c r="G11" s="435">
        <v>0</v>
      </c>
      <c r="H11" s="435">
        <v>0</v>
      </c>
      <c r="I11" s="435">
        <v>0</v>
      </c>
      <c r="J11" s="435">
        <v>0</v>
      </c>
      <c r="K11" s="435">
        <v>0</v>
      </c>
      <c r="L11" s="435">
        <v>0</v>
      </c>
      <c r="M11" s="435">
        <v>0</v>
      </c>
      <c r="N11" s="435">
        <v>0</v>
      </c>
      <c r="O11" s="434">
        <v>0</v>
      </c>
      <c r="P11" s="436">
        <v>0</v>
      </c>
      <c r="Q11" s="434">
        <v>0</v>
      </c>
      <c r="R11" s="436">
        <v>0</v>
      </c>
      <c r="S11" s="434">
        <v>0</v>
      </c>
      <c r="T11" s="434">
        <v>0</v>
      </c>
      <c r="U11" s="435" t="s">
        <v>164</v>
      </c>
      <c r="V11" s="437" t="s">
        <v>164</v>
      </c>
      <c r="W11" s="438" t="s">
        <v>165</v>
      </c>
      <c r="X11" s="439" t="s">
        <v>164</v>
      </c>
      <c r="Y11" s="438" t="s">
        <v>165</v>
      </c>
      <c r="Z11" s="439" t="s">
        <v>164</v>
      </c>
      <c r="AA11" s="439" t="s">
        <v>165</v>
      </c>
      <c r="AB11" s="440" t="s">
        <v>164</v>
      </c>
      <c r="AC11" s="438">
        <v>3568</v>
      </c>
      <c r="AD11" s="440">
        <v>1784</v>
      </c>
      <c r="AE11" s="438" t="s">
        <v>164</v>
      </c>
      <c r="AF11" s="440" t="s">
        <v>164</v>
      </c>
      <c r="AG11" s="695" t="s">
        <v>164</v>
      </c>
      <c r="AH11" s="696" t="s">
        <v>164</v>
      </c>
      <c r="AI11" s="695" t="s">
        <v>164</v>
      </c>
      <c r="AJ11" s="696" t="s">
        <v>164</v>
      </c>
      <c r="AK11" s="695" t="s">
        <v>164</v>
      </c>
      <c r="AL11" s="697" t="s">
        <v>164</v>
      </c>
      <c r="AM11" s="438">
        <f>7110+180</f>
        <v>7290</v>
      </c>
      <c r="AN11" s="438">
        <f>3555+90</f>
        <v>3645</v>
      </c>
      <c r="AO11" s="441">
        <v>6846</v>
      </c>
      <c r="AP11" s="442">
        <v>3423</v>
      </c>
    </row>
    <row r="12" spans="1:42" ht="27.95" customHeight="1" x14ac:dyDescent="0.15">
      <c r="A12" s="432" t="s">
        <v>216</v>
      </c>
      <c r="B12" s="449" t="s">
        <v>217</v>
      </c>
      <c r="C12" s="434">
        <v>0</v>
      </c>
      <c r="D12" s="434">
        <v>0</v>
      </c>
      <c r="E12" s="434">
        <v>0</v>
      </c>
      <c r="F12" s="434">
        <v>0</v>
      </c>
      <c r="G12" s="435">
        <v>0</v>
      </c>
      <c r="H12" s="435">
        <v>0</v>
      </c>
      <c r="I12" s="435">
        <v>0</v>
      </c>
      <c r="J12" s="435">
        <v>0</v>
      </c>
      <c r="K12" s="435">
        <v>0</v>
      </c>
      <c r="L12" s="435">
        <v>0</v>
      </c>
      <c r="M12" s="435">
        <v>0</v>
      </c>
      <c r="N12" s="435">
        <v>0</v>
      </c>
      <c r="O12" s="434">
        <v>0</v>
      </c>
      <c r="P12" s="436">
        <v>0</v>
      </c>
      <c r="Q12" s="434">
        <v>0</v>
      </c>
      <c r="R12" s="436">
        <v>0</v>
      </c>
      <c r="S12" s="434">
        <v>0</v>
      </c>
      <c r="T12" s="434">
        <v>0</v>
      </c>
      <c r="U12" s="435" t="s">
        <v>164</v>
      </c>
      <c r="V12" s="437" t="s">
        <v>164</v>
      </c>
      <c r="W12" s="438" t="s">
        <v>165</v>
      </c>
      <c r="X12" s="439" t="s">
        <v>164</v>
      </c>
      <c r="Y12" s="438" t="s">
        <v>165</v>
      </c>
      <c r="Z12" s="439" t="s">
        <v>164</v>
      </c>
      <c r="AA12" s="439" t="s">
        <v>165</v>
      </c>
      <c r="AB12" s="440" t="s">
        <v>164</v>
      </c>
      <c r="AC12" s="438" t="s">
        <v>165</v>
      </c>
      <c r="AD12" s="440" t="s">
        <v>164</v>
      </c>
      <c r="AE12" s="438">
        <v>2274</v>
      </c>
      <c r="AF12" s="440">
        <v>1076</v>
      </c>
      <c r="AG12" s="438">
        <v>4886</v>
      </c>
      <c r="AH12" s="439">
        <v>1703</v>
      </c>
      <c r="AI12" s="438">
        <v>19166</v>
      </c>
      <c r="AJ12" s="439">
        <v>6678</v>
      </c>
      <c r="AK12" s="438">
        <v>23774</v>
      </c>
      <c r="AL12" s="440">
        <v>8292</v>
      </c>
      <c r="AM12" s="438">
        <f>16582+7056</f>
        <v>23638</v>
      </c>
      <c r="AN12" s="438">
        <f>5794+2451</f>
        <v>8245</v>
      </c>
      <c r="AO12" s="441">
        <v>19984</v>
      </c>
      <c r="AP12" s="442">
        <v>6970</v>
      </c>
    </row>
    <row r="13" spans="1:42" ht="27.95" customHeight="1" x14ac:dyDescent="0.15">
      <c r="A13" s="450" t="s">
        <v>218</v>
      </c>
      <c r="B13" s="451" t="s">
        <v>219</v>
      </c>
      <c r="C13" s="89">
        <v>937880</v>
      </c>
      <c r="D13" s="89">
        <v>384672</v>
      </c>
      <c r="E13" s="178">
        <v>857922</v>
      </c>
      <c r="F13" s="178">
        <v>360327</v>
      </c>
      <c r="G13" s="452">
        <v>809750</v>
      </c>
      <c r="H13" s="452">
        <v>340095</v>
      </c>
      <c r="I13" s="178">
        <v>776462</v>
      </c>
      <c r="J13" s="178">
        <v>326114</v>
      </c>
      <c r="K13" s="178">
        <v>773131</v>
      </c>
      <c r="L13" s="178">
        <v>324716</v>
      </c>
      <c r="M13" s="178">
        <v>785455</v>
      </c>
      <c r="N13" s="178">
        <v>324716</v>
      </c>
      <c r="O13" s="178">
        <v>779952</v>
      </c>
      <c r="P13" s="453">
        <v>324716</v>
      </c>
      <c r="Q13" s="178">
        <v>776020</v>
      </c>
      <c r="R13" s="453">
        <v>324716</v>
      </c>
      <c r="S13" s="178">
        <v>772913</v>
      </c>
      <c r="T13" s="178">
        <v>323027</v>
      </c>
      <c r="U13" s="452">
        <v>762027</v>
      </c>
      <c r="V13" s="454">
        <v>320051</v>
      </c>
      <c r="W13" s="89">
        <v>753474</v>
      </c>
      <c r="X13" s="445">
        <v>316459</v>
      </c>
      <c r="Y13" s="89">
        <v>753954</v>
      </c>
      <c r="Z13" s="445">
        <v>316459</v>
      </c>
      <c r="AA13" s="445">
        <v>752445</v>
      </c>
      <c r="AB13" s="90">
        <v>316027</v>
      </c>
      <c r="AC13" s="89">
        <v>750935</v>
      </c>
      <c r="AD13" s="90">
        <v>315393</v>
      </c>
      <c r="AE13" s="89">
        <v>768432</v>
      </c>
      <c r="AF13" s="90">
        <v>315393</v>
      </c>
      <c r="AG13" s="89">
        <v>767662</v>
      </c>
      <c r="AH13" s="445">
        <v>315393</v>
      </c>
      <c r="AI13" s="89">
        <v>767662</v>
      </c>
      <c r="AJ13" s="445">
        <v>315393</v>
      </c>
      <c r="AK13" s="89">
        <v>779647</v>
      </c>
      <c r="AL13" s="90">
        <v>315393</v>
      </c>
      <c r="AM13" s="89">
        <v>778860</v>
      </c>
      <c r="AN13" s="89">
        <v>315393</v>
      </c>
      <c r="AO13" s="203">
        <v>778073</v>
      </c>
      <c r="AP13" s="455">
        <v>315393</v>
      </c>
    </row>
    <row r="14" spans="1:42" ht="27.95" hidden="1" customHeight="1" x14ac:dyDescent="0.15">
      <c r="A14" s="432" t="s">
        <v>220</v>
      </c>
      <c r="B14" s="433" t="s">
        <v>212</v>
      </c>
      <c r="C14" s="456">
        <v>0</v>
      </c>
      <c r="D14" s="456">
        <v>0</v>
      </c>
      <c r="E14" s="457">
        <v>0</v>
      </c>
      <c r="F14" s="457">
        <v>0</v>
      </c>
      <c r="G14" s="445">
        <v>93447</v>
      </c>
      <c r="H14" s="445">
        <v>21804</v>
      </c>
      <c r="I14" s="89">
        <v>89748</v>
      </c>
      <c r="J14" s="89">
        <v>31412</v>
      </c>
      <c r="K14" s="458">
        <v>0</v>
      </c>
      <c r="L14" s="458">
        <v>0</v>
      </c>
      <c r="M14" s="458">
        <v>0</v>
      </c>
      <c r="N14" s="458">
        <v>0</v>
      </c>
      <c r="O14" s="458">
        <v>0</v>
      </c>
      <c r="P14" s="459">
        <v>0</v>
      </c>
      <c r="Q14" s="458">
        <v>0</v>
      </c>
      <c r="R14" s="459">
        <v>0</v>
      </c>
      <c r="S14" s="458">
        <v>0</v>
      </c>
      <c r="T14" s="458">
        <v>0</v>
      </c>
      <c r="U14" s="460" t="s">
        <v>164</v>
      </c>
      <c r="V14" s="461" t="s">
        <v>164</v>
      </c>
      <c r="W14" s="438" t="s">
        <v>164</v>
      </c>
      <c r="X14" s="439" t="s">
        <v>164</v>
      </c>
      <c r="Y14" s="438" t="s">
        <v>164</v>
      </c>
      <c r="Z14" s="439" t="s">
        <v>164</v>
      </c>
      <c r="AA14" s="439" t="s">
        <v>164</v>
      </c>
      <c r="AB14" s="440" t="s">
        <v>164</v>
      </c>
      <c r="AC14" s="438" t="s">
        <v>164</v>
      </c>
      <c r="AD14" s="440" t="s">
        <v>164</v>
      </c>
      <c r="AE14" s="438" t="s">
        <v>164</v>
      </c>
      <c r="AF14" s="440" t="s">
        <v>164</v>
      </c>
      <c r="AG14" s="438" t="s">
        <v>164</v>
      </c>
      <c r="AH14" s="439" t="s">
        <v>164</v>
      </c>
      <c r="AI14" s="438" t="s">
        <v>164</v>
      </c>
      <c r="AJ14" s="439" t="s">
        <v>164</v>
      </c>
      <c r="AK14" s="438" t="s">
        <v>164</v>
      </c>
      <c r="AL14" s="440" t="s">
        <v>164</v>
      </c>
      <c r="AM14" s="438" t="s">
        <v>164</v>
      </c>
      <c r="AN14" s="438" t="s">
        <v>164</v>
      </c>
      <c r="AO14" s="446" t="s">
        <v>164</v>
      </c>
      <c r="AP14" s="447" t="s">
        <v>164</v>
      </c>
    </row>
    <row r="15" spans="1:42" ht="27.95" customHeight="1" x14ac:dyDescent="0.15">
      <c r="A15" s="708" t="s">
        <v>58</v>
      </c>
      <c r="B15" s="709"/>
      <c r="C15" s="89">
        <f t="shared" ref="C15:AN15" si="0">SUM(C6:C14)</f>
        <v>1275364</v>
      </c>
      <c r="D15" s="89">
        <f t="shared" si="0"/>
        <v>501893</v>
      </c>
      <c r="E15" s="89">
        <f t="shared" si="0"/>
        <v>1166828</v>
      </c>
      <c r="F15" s="89">
        <f t="shared" si="0"/>
        <v>468444</v>
      </c>
      <c r="G15" s="89">
        <f t="shared" si="0"/>
        <v>1192261</v>
      </c>
      <c r="H15" s="89">
        <f t="shared" si="0"/>
        <v>463071</v>
      </c>
      <c r="I15" s="89">
        <f t="shared" si="0"/>
        <v>1140112</v>
      </c>
      <c r="J15" s="89">
        <f t="shared" si="0"/>
        <v>453392</v>
      </c>
      <c r="K15" s="89">
        <f t="shared" si="0"/>
        <v>1929497</v>
      </c>
      <c r="L15" s="89">
        <f t="shared" si="0"/>
        <v>729444</v>
      </c>
      <c r="M15" s="89">
        <f t="shared" si="0"/>
        <v>1927787</v>
      </c>
      <c r="N15" s="89">
        <f t="shared" si="0"/>
        <v>723838</v>
      </c>
      <c r="O15" s="89">
        <f t="shared" si="0"/>
        <v>1787884</v>
      </c>
      <c r="P15" s="89">
        <f t="shared" si="0"/>
        <v>677448</v>
      </c>
      <c r="Q15" s="91">
        <f t="shared" si="0"/>
        <v>1743796</v>
      </c>
      <c r="R15" s="91">
        <f t="shared" si="0"/>
        <v>663395</v>
      </c>
      <c r="S15" s="91">
        <f t="shared" si="0"/>
        <v>1702597</v>
      </c>
      <c r="T15" s="91">
        <f t="shared" si="0"/>
        <v>648415</v>
      </c>
      <c r="U15" s="91">
        <f t="shared" si="0"/>
        <v>1714738</v>
      </c>
      <c r="V15" s="91">
        <f t="shared" si="0"/>
        <v>706158</v>
      </c>
      <c r="W15" s="89">
        <f t="shared" si="0"/>
        <v>1828214</v>
      </c>
      <c r="X15" s="445">
        <f t="shared" si="0"/>
        <v>754321</v>
      </c>
      <c r="Y15" s="89">
        <f t="shared" si="0"/>
        <v>1873289</v>
      </c>
      <c r="Z15" s="445">
        <f t="shared" si="0"/>
        <v>761959</v>
      </c>
      <c r="AA15" s="445">
        <f t="shared" si="0"/>
        <v>1860460</v>
      </c>
      <c r="AB15" s="90">
        <f t="shared" si="0"/>
        <v>878527</v>
      </c>
      <c r="AC15" s="89">
        <f t="shared" si="0"/>
        <v>1872844</v>
      </c>
      <c r="AD15" s="90">
        <f t="shared" si="0"/>
        <v>885960</v>
      </c>
      <c r="AE15" s="89">
        <f t="shared" si="0"/>
        <v>1872970</v>
      </c>
      <c r="AF15" s="90">
        <f t="shared" si="0"/>
        <v>906437</v>
      </c>
      <c r="AG15" s="89">
        <f t="shared" si="0"/>
        <v>1873255</v>
      </c>
      <c r="AH15" s="445">
        <f t="shared" si="0"/>
        <v>906338</v>
      </c>
      <c r="AI15" s="89">
        <f t="shared" si="0"/>
        <v>1015692</v>
      </c>
      <c r="AJ15" s="445">
        <f t="shared" si="0"/>
        <v>403047</v>
      </c>
      <c r="AK15" s="89">
        <f t="shared" si="0"/>
        <v>1032825</v>
      </c>
      <c r="AL15" s="90">
        <f t="shared" si="0"/>
        <v>405344</v>
      </c>
      <c r="AM15" s="89">
        <f t="shared" si="0"/>
        <v>1054088</v>
      </c>
      <c r="AN15" s="89">
        <f t="shared" si="0"/>
        <v>416600</v>
      </c>
      <c r="AO15" s="203">
        <f>SUM(AO6:AO14)</f>
        <v>1057913</v>
      </c>
      <c r="AP15" s="455">
        <f>SUM(AP6:AP14)</f>
        <v>419480</v>
      </c>
    </row>
    <row r="16" spans="1:42" ht="27.95" customHeight="1" thickBot="1" x14ac:dyDescent="0.2">
      <c r="A16" s="725" t="s">
        <v>69</v>
      </c>
      <c r="B16" s="726"/>
      <c r="C16" s="462">
        <v>90.7</v>
      </c>
      <c r="D16" s="462">
        <v>98.1</v>
      </c>
      <c r="E16" s="463">
        <f>ROUND((E15/C15)*100,1)</f>
        <v>91.5</v>
      </c>
      <c r="F16" s="463">
        <f>ROUND((F15/D15)*100,1)</f>
        <v>93.3</v>
      </c>
      <c r="G16" s="463">
        <f t="shared" ref="G16:AL16" si="1">ROUND((G15/E15)*100,1)</f>
        <v>102.2</v>
      </c>
      <c r="H16" s="463">
        <f t="shared" si="1"/>
        <v>98.9</v>
      </c>
      <c r="I16" s="464">
        <f t="shared" si="1"/>
        <v>95.6</v>
      </c>
      <c r="J16" s="464">
        <f t="shared" si="1"/>
        <v>97.9</v>
      </c>
      <c r="K16" s="463">
        <f t="shared" si="1"/>
        <v>169.2</v>
      </c>
      <c r="L16" s="463">
        <f t="shared" si="1"/>
        <v>160.9</v>
      </c>
      <c r="M16" s="463">
        <f t="shared" si="1"/>
        <v>99.9</v>
      </c>
      <c r="N16" s="463">
        <f t="shared" si="1"/>
        <v>99.2</v>
      </c>
      <c r="O16" s="463">
        <f t="shared" si="1"/>
        <v>92.7</v>
      </c>
      <c r="P16" s="463">
        <f t="shared" si="1"/>
        <v>93.6</v>
      </c>
      <c r="Q16" s="463">
        <f t="shared" si="1"/>
        <v>97.5</v>
      </c>
      <c r="R16" s="465">
        <f t="shared" si="1"/>
        <v>97.9</v>
      </c>
      <c r="S16" s="463">
        <f t="shared" si="1"/>
        <v>97.6</v>
      </c>
      <c r="T16" s="465">
        <f t="shared" si="1"/>
        <v>97.7</v>
      </c>
      <c r="U16" s="463">
        <f t="shared" si="1"/>
        <v>100.7</v>
      </c>
      <c r="V16" s="465">
        <f t="shared" si="1"/>
        <v>108.9</v>
      </c>
      <c r="W16" s="462">
        <f t="shared" si="1"/>
        <v>106.6</v>
      </c>
      <c r="X16" s="466">
        <f t="shared" si="1"/>
        <v>106.8</v>
      </c>
      <c r="Y16" s="94">
        <f t="shared" si="1"/>
        <v>102.5</v>
      </c>
      <c r="Z16" s="467">
        <f t="shared" si="1"/>
        <v>101</v>
      </c>
      <c r="AA16" s="467">
        <f t="shared" si="1"/>
        <v>99.3</v>
      </c>
      <c r="AB16" s="95">
        <f t="shared" si="1"/>
        <v>115.3</v>
      </c>
      <c r="AC16" s="94">
        <f t="shared" si="1"/>
        <v>100.7</v>
      </c>
      <c r="AD16" s="95">
        <f t="shared" si="1"/>
        <v>100.8</v>
      </c>
      <c r="AE16" s="94">
        <f>ROUND((AE15/AC15)*100,1)</f>
        <v>100</v>
      </c>
      <c r="AF16" s="95">
        <f t="shared" si="1"/>
        <v>102.3</v>
      </c>
      <c r="AG16" s="94">
        <f t="shared" si="1"/>
        <v>100</v>
      </c>
      <c r="AH16" s="467">
        <f t="shared" si="1"/>
        <v>100</v>
      </c>
      <c r="AI16" s="94">
        <f t="shared" si="1"/>
        <v>54.2</v>
      </c>
      <c r="AJ16" s="467">
        <f t="shared" si="1"/>
        <v>44.5</v>
      </c>
      <c r="AK16" s="94">
        <f t="shared" si="1"/>
        <v>101.7</v>
      </c>
      <c r="AL16" s="95">
        <f t="shared" si="1"/>
        <v>100.6</v>
      </c>
      <c r="AM16" s="94">
        <f>ROUND((AM15/AK15)*100,1)</f>
        <v>102.1</v>
      </c>
      <c r="AN16" s="94">
        <f>ROUND((AN15/AL15)*100,1)</f>
        <v>102.8</v>
      </c>
      <c r="AO16" s="468">
        <f>ROUND((AO15/AM15)*100,1)</f>
        <v>100.4</v>
      </c>
      <c r="AP16" s="469">
        <f>ROUND((AP15/AN15)*100,1)</f>
        <v>100.7</v>
      </c>
    </row>
    <row r="17" spans="1:42" ht="27.95" customHeight="1" x14ac:dyDescent="0.15">
      <c r="A17" s="470"/>
      <c r="B17" s="470"/>
      <c r="C17" s="471"/>
      <c r="D17" s="471"/>
      <c r="E17" s="471"/>
      <c r="F17" s="471"/>
      <c r="G17" s="471"/>
      <c r="H17" s="471"/>
      <c r="I17" s="471"/>
      <c r="J17" s="471"/>
      <c r="K17" s="471"/>
      <c r="L17" s="471"/>
      <c r="M17" s="471"/>
      <c r="N17" s="471"/>
      <c r="O17" s="471"/>
      <c r="P17" s="471"/>
      <c r="Q17" s="471"/>
      <c r="R17" s="471"/>
      <c r="S17" s="471"/>
      <c r="T17" s="471"/>
      <c r="U17" s="471"/>
      <c r="V17" s="471"/>
      <c r="W17" s="471"/>
      <c r="X17" s="471"/>
      <c r="Y17" s="472"/>
      <c r="Z17" s="472"/>
      <c r="AA17" s="472"/>
      <c r="AB17" s="472"/>
      <c r="AC17" s="472"/>
      <c r="AD17" s="472"/>
      <c r="AE17" s="472"/>
      <c r="AF17" s="472"/>
      <c r="AG17" s="472"/>
      <c r="AH17" s="472"/>
      <c r="AI17" s="472"/>
      <c r="AJ17" s="472"/>
      <c r="AK17" s="472"/>
      <c r="AL17" s="472"/>
      <c r="AM17" s="472"/>
      <c r="AN17" s="472"/>
      <c r="AO17" s="472"/>
      <c r="AP17" s="472"/>
    </row>
    <row r="18" spans="1:42" ht="27.95" customHeight="1" x14ac:dyDescent="0.15">
      <c r="A18" s="470"/>
      <c r="B18" s="470"/>
      <c r="C18" s="471"/>
      <c r="D18" s="471"/>
      <c r="E18" s="471"/>
      <c r="F18" s="471"/>
      <c r="G18" s="471"/>
      <c r="H18" s="471"/>
      <c r="I18" s="471"/>
      <c r="J18" s="471"/>
      <c r="K18" s="471"/>
      <c r="L18" s="471"/>
      <c r="M18" s="471"/>
      <c r="N18" s="471"/>
      <c r="O18" s="471"/>
      <c r="P18" s="471"/>
      <c r="Q18" s="471"/>
      <c r="R18" s="471"/>
      <c r="S18" s="471"/>
      <c r="T18" s="471"/>
      <c r="U18" s="471"/>
      <c r="V18" s="471"/>
      <c r="W18" s="471"/>
      <c r="X18" s="471"/>
      <c r="Y18" s="472"/>
      <c r="Z18" s="472"/>
      <c r="AA18" s="472"/>
      <c r="AB18" s="472"/>
      <c r="AC18" s="472"/>
      <c r="AD18" s="472"/>
      <c r="AE18" s="472"/>
      <c r="AF18" s="472"/>
      <c r="AG18" s="472"/>
      <c r="AH18" s="472"/>
      <c r="AI18" s="472"/>
      <c r="AJ18" s="472"/>
      <c r="AK18" s="472"/>
      <c r="AL18" s="472"/>
      <c r="AM18" s="472"/>
      <c r="AN18" s="472"/>
      <c r="AO18" s="472"/>
      <c r="AP18" s="472"/>
    </row>
    <row r="19" spans="1:42" ht="27.95" customHeight="1" x14ac:dyDescent="0.15">
      <c r="A19" s="417"/>
      <c r="B19" s="417" t="s">
        <v>101</v>
      </c>
      <c r="C19" s="417" t="s">
        <v>101</v>
      </c>
      <c r="D19" s="417" t="s">
        <v>101</v>
      </c>
      <c r="E19" s="417" t="s">
        <v>101</v>
      </c>
      <c r="F19" s="417" t="s">
        <v>101</v>
      </c>
      <c r="G19" s="417" t="s">
        <v>101</v>
      </c>
      <c r="H19" s="417" t="s">
        <v>101</v>
      </c>
      <c r="I19" s="417"/>
      <c r="J19" s="417"/>
      <c r="K19" s="417" t="s">
        <v>101</v>
      </c>
      <c r="L19" s="417" t="s">
        <v>101</v>
      </c>
      <c r="M19" s="417" t="s">
        <v>101</v>
      </c>
      <c r="N19" s="417" t="s">
        <v>101</v>
      </c>
      <c r="O19" s="417" t="s">
        <v>101</v>
      </c>
      <c r="P19" s="417" t="s">
        <v>101</v>
      </c>
      <c r="Q19" s="417" t="s">
        <v>101</v>
      </c>
      <c r="R19" s="417" t="s">
        <v>101</v>
      </c>
      <c r="S19" s="417"/>
      <c r="T19" s="417" t="s">
        <v>101</v>
      </c>
      <c r="U19" s="417" t="s">
        <v>101</v>
      </c>
      <c r="V19" s="417" t="s">
        <v>101</v>
      </c>
      <c r="W19" s="417"/>
      <c r="X19" s="417"/>
      <c r="Y19" s="417"/>
      <c r="Z19" s="417"/>
      <c r="AA19" s="417"/>
      <c r="AB19" s="417"/>
      <c r="AC19" s="417"/>
      <c r="AD19" s="417"/>
      <c r="AE19" s="417"/>
      <c r="AF19" s="417"/>
      <c r="AG19" s="417"/>
      <c r="AH19" s="417"/>
      <c r="AI19" s="417"/>
      <c r="AJ19" s="417"/>
      <c r="AK19" s="417"/>
      <c r="AL19" s="417"/>
      <c r="AM19" s="417"/>
      <c r="AN19" s="417"/>
      <c r="AO19" s="417"/>
      <c r="AP19" s="417"/>
    </row>
    <row r="20" spans="1:42" ht="27.95" customHeight="1" thickBot="1" x14ac:dyDescent="0.2">
      <c r="A20" s="417" t="s">
        <v>221</v>
      </c>
      <c r="B20" s="417"/>
      <c r="C20" s="417"/>
      <c r="D20" s="417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17"/>
      <c r="S20" s="417"/>
      <c r="T20" s="417"/>
      <c r="U20" s="417"/>
      <c r="V20" s="420"/>
      <c r="W20" s="473"/>
      <c r="X20" s="420"/>
      <c r="Y20" s="417"/>
      <c r="Z20" s="420"/>
      <c r="AA20" s="417"/>
      <c r="AB20" s="420"/>
      <c r="AC20" s="417"/>
      <c r="AD20" s="420"/>
      <c r="AE20" s="417"/>
      <c r="AF20" s="420"/>
      <c r="AG20" s="417"/>
      <c r="AH20" s="420"/>
      <c r="AI20" s="417"/>
      <c r="AJ20" s="420"/>
      <c r="AK20" s="417"/>
      <c r="AL20" s="420"/>
      <c r="AM20" s="417"/>
      <c r="AN20" s="420"/>
      <c r="AO20" s="417"/>
      <c r="AP20" s="420" t="s">
        <v>51</v>
      </c>
    </row>
    <row r="21" spans="1:42" ht="27.95" customHeight="1" x14ac:dyDescent="0.15">
      <c r="A21" s="805" t="s">
        <v>202</v>
      </c>
      <c r="B21" s="806"/>
      <c r="C21" s="752" t="s">
        <v>4</v>
      </c>
      <c r="D21" s="752"/>
      <c r="E21" s="752" t="s">
        <v>88</v>
      </c>
      <c r="F21" s="752"/>
      <c r="G21" s="711" t="s">
        <v>6</v>
      </c>
      <c r="H21" s="711"/>
      <c r="I21" s="752" t="s">
        <v>7</v>
      </c>
      <c r="J21" s="752"/>
      <c r="K21" s="752" t="s">
        <v>8</v>
      </c>
      <c r="L21" s="752"/>
      <c r="M21" s="752" t="s">
        <v>9</v>
      </c>
      <c r="N21" s="752"/>
      <c r="O21" s="752" t="s">
        <v>10</v>
      </c>
      <c r="P21" s="804"/>
      <c r="Q21" s="752" t="s">
        <v>11</v>
      </c>
      <c r="R21" s="804"/>
      <c r="S21" s="752" t="s">
        <v>163</v>
      </c>
      <c r="T21" s="752"/>
      <c r="U21" s="804" t="s">
        <v>13</v>
      </c>
      <c r="V21" s="809"/>
      <c r="W21" s="804" t="s">
        <v>132</v>
      </c>
      <c r="X21" s="711"/>
      <c r="Y21" s="804" t="s">
        <v>133</v>
      </c>
      <c r="Z21" s="711"/>
      <c r="AA21" s="809" t="s">
        <v>37</v>
      </c>
      <c r="AB21" s="809"/>
      <c r="AC21" s="804" t="s">
        <v>38</v>
      </c>
      <c r="AD21" s="809"/>
      <c r="AE21" s="804" t="s">
        <v>39</v>
      </c>
      <c r="AF21" s="809"/>
      <c r="AG21" s="804" t="s">
        <v>222</v>
      </c>
      <c r="AH21" s="711"/>
      <c r="AI21" s="804" t="s">
        <v>41</v>
      </c>
      <c r="AJ21" s="711"/>
      <c r="AK21" s="804" t="s">
        <v>42</v>
      </c>
      <c r="AL21" s="809"/>
      <c r="AM21" s="752" t="s">
        <v>43</v>
      </c>
      <c r="AN21" s="752"/>
      <c r="AO21" s="810" t="s">
        <v>44</v>
      </c>
      <c r="AP21" s="811"/>
    </row>
    <row r="22" spans="1:42" ht="27.95" customHeight="1" x14ac:dyDescent="0.15">
      <c r="A22" s="807"/>
      <c r="B22" s="808"/>
      <c r="C22" s="421" t="s">
        <v>156</v>
      </c>
      <c r="D22" s="421" t="s">
        <v>223</v>
      </c>
      <c r="E22" s="421" t="s">
        <v>156</v>
      </c>
      <c r="F22" s="421" t="s">
        <v>223</v>
      </c>
      <c r="G22" s="422" t="s">
        <v>156</v>
      </c>
      <c r="H22" s="421" t="s">
        <v>223</v>
      </c>
      <c r="I22" s="421" t="s">
        <v>156</v>
      </c>
      <c r="J22" s="421" t="s">
        <v>223</v>
      </c>
      <c r="K22" s="421" t="s">
        <v>156</v>
      </c>
      <c r="L22" s="421" t="s">
        <v>223</v>
      </c>
      <c r="M22" s="421" t="s">
        <v>156</v>
      </c>
      <c r="N22" s="421" t="s">
        <v>223</v>
      </c>
      <c r="O22" s="421" t="s">
        <v>156</v>
      </c>
      <c r="P22" s="423" t="s">
        <v>223</v>
      </c>
      <c r="Q22" s="421" t="s">
        <v>156</v>
      </c>
      <c r="R22" s="423" t="s">
        <v>223</v>
      </c>
      <c r="S22" s="421" t="s">
        <v>156</v>
      </c>
      <c r="T22" s="421" t="s">
        <v>223</v>
      </c>
      <c r="U22" s="421" t="s">
        <v>203</v>
      </c>
      <c r="V22" s="423" t="s">
        <v>224</v>
      </c>
      <c r="W22" s="421" t="s">
        <v>203</v>
      </c>
      <c r="X22" s="422" t="s">
        <v>224</v>
      </c>
      <c r="Y22" s="421" t="s">
        <v>203</v>
      </c>
      <c r="Z22" s="422" t="s">
        <v>224</v>
      </c>
      <c r="AA22" s="422" t="s">
        <v>203</v>
      </c>
      <c r="AB22" s="424" t="s">
        <v>224</v>
      </c>
      <c r="AC22" s="421" t="s">
        <v>203</v>
      </c>
      <c r="AD22" s="424" t="s">
        <v>224</v>
      </c>
      <c r="AE22" s="421" t="s">
        <v>203</v>
      </c>
      <c r="AF22" s="424" t="s">
        <v>224</v>
      </c>
      <c r="AG22" s="421" t="s">
        <v>203</v>
      </c>
      <c r="AH22" s="422" t="s">
        <v>224</v>
      </c>
      <c r="AI22" s="421" t="s">
        <v>203</v>
      </c>
      <c r="AJ22" s="422" t="s">
        <v>224</v>
      </c>
      <c r="AK22" s="421" t="s">
        <v>203</v>
      </c>
      <c r="AL22" s="424" t="s">
        <v>224</v>
      </c>
      <c r="AM22" s="421" t="s">
        <v>203</v>
      </c>
      <c r="AN22" s="421" t="s">
        <v>224</v>
      </c>
      <c r="AO22" s="425" t="s">
        <v>203</v>
      </c>
      <c r="AP22" s="426" t="s">
        <v>224</v>
      </c>
    </row>
    <row r="23" spans="1:42" ht="27.95" customHeight="1" x14ac:dyDescent="0.15">
      <c r="A23" s="474" t="s">
        <v>205</v>
      </c>
      <c r="B23" s="451" t="s">
        <v>225</v>
      </c>
      <c r="C23" s="85">
        <v>235508</v>
      </c>
      <c r="D23" s="85">
        <v>117342</v>
      </c>
      <c r="E23" s="475">
        <v>235508</v>
      </c>
      <c r="F23" s="475">
        <v>117342</v>
      </c>
      <c r="G23" s="475">
        <v>233060</v>
      </c>
      <c r="H23" s="475">
        <v>116118</v>
      </c>
      <c r="I23" s="475">
        <v>233060</v>
      </c>
      <c r="J23" s="475">
        <v>116118</v>
      </c>
      <c r="K23" s="475">
        <v>233060</v>
      </c>
      <c r="L23" s="475">
        <v>116118</v>
      </c>
      <c r="M23" s="475">
        <v>206091</v>
      </c>
      <c r="N23" s="475">
        <v>102633</v>
      </c>
      <c r="O23" s="475">
        <v>206091</v>
      </c>
      <c r="P23" s="476">
        <v>102633</v>
      </c>
      <c r="Q23" s="475">
        <v>206331</v>
      </c>
      <c r="R23" s="476">
        <v>102753</v>
      </c>
      <c r="S23" s="475">
        <v>205272</v>
      </c>
      <c r="T23" s="475">
        <v>102224</v>
      </c>
      <c r="U23" s="85">
        <v>205272</v>
      </c>
      <c r="V23" s="84">
        <v>102224</v>
      </c>
      <c r="W23" s="85">
        <v>205272</v>
      </c>
      <c r="X23" s="430">
        <v>102224</v>
      </c>
      <c r="Y23" s="85">
        <v>204660</v>
      </c>
      <c r="Z23" s="430">
        <v>101918</v>
      </c>
      <c r="AA23" s="430">
        <v>204660</v>
      </c>
      <c r="AB23" s="93">
        <v>101918</v>
      </c>
      <c r="AC23" s="85">
        <v>204660</v>
      </c>
      <c r="AD23" s="93">
        <v>101917</v>
      </c>
      <c r="AE23" s="85">
        <v>203614</v>
      </c>
      <c r="AF23" s="93">
        <v>101394</v>
      </c>
      <c r="AG23" s="85">
        <v>203614</v>
      </c>
      <c r="AH23" s="430">
        <v>101395</v>
      </c>
      <c r="AI23" s="85">
        <v>203614</v>
      </c>
      <c r="AJ23" s="430">
        <v>101395</v>
      </c>
      <c r="AK23" s="85">
        <v>199891</v>
      </c>
      <c r="AL23" s="93">
        <v>99533</v>
      </c>
      <c r="AM23" s="85">
        <v>201471</v>
      </c>
      <c r="AN23" s="85">
        <v>100323</v>
      </c>
      <c r="AO23" s="198">
        <v>201471</v>
      </c>
      <c r="AP23" s="431">
        <v>100323</v>
      </c>
    </row>
    <row r="24" spans="1:42" ht="27.95" customHeight="1" x14ac:dyDescent="0.15">
      <c r="A24" s="432" t="s">
        <v>226</v>
      </c>
      <c r="B24" s="433" t="s">
        <v>227</v>
      </c>
      <c r="C24" s="457">
        <v>0</v>
      </c>
      <c r="D24" s="457">
        <v>0</v>
      </c>
      <c r="E24" s="457">
        <v>0</v>
      </c>
      <c r="F24" s="457">
        <v>0</v>
      </c>
      <c r="G24" s="89">
        <v>860</v>
      </c>
      <c r="H24" s="89">
        <v>430</v>
      </c>
      <c r="I24" s="89">
        <v>860</v>
      </c>
      <c r="J24" s="89">
        <v>430</v>
      </c>
      <c r="K24" s="89">
        <v>860</v>
      </c>
      <c r="L24" s="89">
        <v>430</v>
      </c>
      <c r="M24" s="89">
        <v>1700</v>
      </c>
      <c r="N24" s="89">
        <v>850</v>
      </c>
      <c r="O24" s="89">
        <v>1700</v>
      </c>
      <c r="P24" s="91">
        <v>850</v>
      </c>
      <c r="Q24" s="89">
        <v>1701</v>
      </c>
      <c r="R24" s="91">
        <v>850</v>
      </c>
      <c r="S24" s="89">
        <v>2241</v>
      </c>
      <c r="T24" s="89">
        <v>1120</v>
      </c>
      <c r="U24" s="89">
        <v>2241</v>
      </c>
      <c r="V24" s="91">
        <v>1120</v>
      </c>
      <c r="W24" s="89">
        <v>4370</v>
      </c>
      <c r="X24" s="445">
        <v>2185</v>
      </c>
      <c r="Y24" s="89">
        <v>21224</v>
      </c>
      <c r="Z24" s="445">
        <v>10313</v>
      </c>
      <c r="AA24" s="445">
        <v>21224</v>
      </c>
      <c r="AB24" s="90">
        <v>10209</v>
      </c>
      <c r="AC24" s="89">
        <v>21129</v>
      </c>
      <c r="AD24" s="90">
        <v>10162</v>
      </c>
      <c r="AE24" s="89">
        <v>20946</v>
      </c>
      <c r="AF24" s="90">
        <v>10072</v>
      </c>
      <c r="AG24" s="89">
        <v>23129</v>
      </c>
      <c r="AH24" s="445">
        <v>11164</v>
      </c>
      <c r="AI24" s="89">
        <v>23510</v>
      </c>
      <c r="AJ24" s="445">
        <v>11164</v>
      </c>
      <c r="AK24" s="89">
        <v>23181</v>
      </c>
      <c r="AL24" s="90">
        <v>11190</v>
      </c>
      <c r="AM24" s="89">
        <v>24411</v>
      </c>
      <c r="AN24" s="89">
        <v>11805</v>
      </c>
      <c r="AO24" s="203">
        <v>24220</v>
      </c>
      <c r="AP24" s="455">
        <v>11614</v>
      </c>
    </row>
    <row r="25" spans="1:42" ht="27.95" customHeight="1" x14ac:dyDescent="0.15">
      <c r="A25" s="432" t="s">
        <v>228</v>
      </c>
      <c r="B25" s="433" t="s">
        <v>229</v>
      </c>
      <c r="C25" s="456"/>
      <c r="D25" s="456"/>
      <c r="E25" s="457">
        <v>0</v>
      </c>
      <c r="F25" s="457">
        <v>0</v>
      </c>
      <c r="G25" s="457">
        <v>0</v>
      </c>
      <c r="H25" s="457">
        <v>0</v>
      </c>
      <c r="I25" s="457">
        <v>0</v>
      </c>
      <c r="J25" s="457">
        <v>0</v>
      </c>
      <c r="K25" s="457">
        <v>0</v>
      </c>
      <c r="L25" s="457">
        <v>0</v>
      </c>
      <c r="M25" s="89">
        <v>4120772</v>
      </c>
      <c r="N25" s="89">
        <v>1648309</v>
      </c>
      <c r="O25" s="89">
        <v>4111252</v>
      </c>
      <c r="P25" s="91">
        <v>1644501</v>
      </c>
      <c r="Q25" s="89">
        <v>4796378</v>
      </c>
      <c r="R25" s="91">
        <v>1918551</v>
      </c>
      <c r="S25" s="89">
        <v>4347613</v>
      </c>
      <c r="T25" s="89">
        <v>1739045</v>
      </c>
      <c r="U25" s="89">
        <v>4321291</v>
      </c>
      <c r="V25" s="91">
        <v>1728517</v>
      </c>
      <c r="W25" s="89">
        <v>4346835</v>
      </c>
      <c r="X25" s="445">
        <v>1738734</v>
      </c>
      <c r="Y25" s="89">
        <v>4284459</v>
      </c>
      <c r="Z25" s="445">
        <v>1713783</v>
      </c>
      <c r="AA25" s="445">
        <v>4386513</v>
      </c>
      <c r="AB25" s="90">
        <v>1752860</v>
      </c>
      <c r="AC25" s="89">
        <v>4612880</v>
      </c>
      <c r="AD25" s="90">
        <v>1836521</v>
      </c>
      <c r="AE25" s="89">
        <v>4529341</v>
      </c>
      <c r="AF25" s="90">
        <v>1803105</v>
      </c>
      <c r="AG25" s="89">
        <v>4566100</v>
      </c>
      <c r="AH25" s="445">
        <v>1815933</v>
      </c>
      <c r="AI25" s="89">
        <v>5466562</v>
      </c>
      <c r="AJ25" s="445">
        <v>2090815</v>
      </c>
      <c r="AK25" s="89">
        <v>5392953</v>
      </c>
      <c r="AL25" s="90">
        <v>2073073</v>
      </c>
      <c r="AM25" s="89">
        <v>5425680</v>
      </c>
      <c r="AN25" s="89">
        <v>2078158</v>
      </c>
      <c r="AO25" s="203">
        <v>5409669</v>
      </c>
      <c r="AP25" s="455">
        <v>2071754</v>
      </c>
    </row>
    <row r="26" spans="1:42" ht="27.95" hidden="1" customHeight="1" x14ac:dyDescent="0.15">
      <c r="A26" s="432" t="s">
        <v>230</v>
      </c>
      <c r="B26" s="433" t="s">
        <v>231</v>
      </c>
      <c r="C26" s="85">
        <v>5160949</v>
      </c>
      <c r="D26" s="85">
        <v>2580474</v>
      </c>
      <c r="E26" s="89">
        <v>5200106</v>
      </c>
      <c r="F26" s="89">
        <v>2594583</v>
      </c>
      <c r="G26" s="89">
        <v>4799424</v>
      </c>
      <c r="H26" s="89">
        <v>2394806</v>
      </c>
      <c r="I26" s="458">
        <v>0</v>
      </c>
      <c r="J26" s="458">
        <v>0</v>
      </c>
      <c r="K26" s="458">
        <v>0</v>
      </c>
      <c r="L26" s="458">
        <v>0</v>
      </c>
      <c r="M26" s="458">
        <v>0</v>
      </c>
      <c r="N26" s="458">
        <v>0</v>
      </c>
      <c r="O26" s="458">
        <v>0</v>
      </c>
      <c r="P26" s="459">
        <v>0</v>
      </c>
      <c r="Q26" s="458">
        <v>0</v>
      </c>
      <c r="R26" s="459">
        <v>0</v>
      </c>
      <c r="S26" s="458">
        <v>0</v>
      </c>
      <c r="T26" s="458">
        <v>0</v>
      </c>
      <c r="U26" s="457" t="s">
        <v>164</v>
      </c>
      <c r="V26" s="477" t="s">
        <v>164</v>
      </c>
      <c r="W26" s="438" t="s">
        <v>165</v>
      </c>
      <c r="X26" s="439" t="s">
        <v>165</v>
      </c>
      <c r="Y26" s="438" t="s">
        <v>165</v>
      </c>
      <c r="Z26" s="439" t="s">
        <v>165</v>
      </c>
      <c r="AA26" s="439" t="s">
        <v>165</v>
      </c>
      <c r="AB26" s="440" t="s">
        <v>165</v>
      </c>
      <c r="AC26" s="438" t="s">
        <v>165</v>
      </c>
      <c r="AD26" s="440" t="s">
        <v>165</v>
      </c>
      <c r="AE26" s="438" t="s">
        <v>165</v>
      </c>
      <c r="AF26" s="440" t="s">
        <v>165</v>
      </c>
      <c r="AG26" s="478" t="s">
        <v>165</v>
      </c>
      <c r="AH26" s="479" t="s">
        <v>165</v>
      </c>
      <c r="AI26" s="478"/>
      <c r="AJ26" s="479"/>
      <c r="AK26" s="478"/>
      <c r="AL26" s="480"/>
      <c r="AM26" s="438"/>
      <c r="AN26" s="438"/>
      <c r="AO26" s="446"/>
      <c r="AP26" s="447"/>
    </row>
    <row r="27" spans="1:42" ht="27.95" hidden="1" customHeight="1" x14ac:dyDescent="0.15">
      <c r="A27" s="432" t="s">
        <v>232</v>
      </c>
      <c r="B27" s="481" t="s">
        <v>233</v>
      </c>
      <c r="C27" s="434">
        <v>0</v>
      </c>
      <c r="D27" s="434">
        <v>0</v>
      </c>
      <c r="E27" s="457">
        <v>0</v>
      </c>
      <c r="F27" s="457">
        <v>0</v>
      </c>
      <c r="G27" s="457">
        <v>0</v>
      </c>
      <c r="H27" s="457">
        <v>0</v>
      </c>
      <c r="I27" s="457">
        <v>5928</v>
      </c>
      <c r="J27" s="457">
        <v>1976</v>
      </c>
      <c r="K27" s="457">
        <v>5928</v>
      </c>
      <c r="L27" s="457">
        <v>1976</v>
      </c>
      <c r="M27" s="457">
        <v>5928</v>
      </c>
      <c r="N27" s="457">
        <v>1976</v>
      </c>
      <c r="O27" s="457">
        <v>5928</v>
      </c>
      <c r="P27" s="477">
        <v>1976</v>
      </c>
      <c r="Q27" s="457">
        <v>5928</v>
      </c>
      <c r="R27" s="477">
        <v>1976</v>
      </c>
      <c r="S27" s="457">
        <v>0</v>
      </c>
      <c r="T27" s="457">
        <v>0</v>
      </c>
      <c r="U27" s="457" t="s">
        <v>164</v>
      </c>
      <c r="V27" s="477" t="s">
        <v>164</v>
      </c>
      <c r="W27" s="438" t="s">
        <v>165</v>
      </c>
      <c r="X27" s="439" t="s">
        <v>165</v>
      </c>
      <c r="Y27" s="438" t="s">
        <v>165</v>
      </c>
      <c r="Z27" s="439" t="s">
        <v>165</v>
      </c>
      <c r="AA27" s="439" t="s">
        <v>165</v>
      </c>
      <c r="AB27" s="440" t="s">
        <v>165</v>
      </c>
      <c r="AC27" s="438" t="s">
        <v>165</v>
      </c>
      <c r="AD27" s="440" t="s">
        <v>165</v>
      </c>
      <c r="AE27" s="438" t="s">
        <v>165</v>
      </c>
      <c r="AF27" s="440" t="s">
        <v>165</v>
      </c>
      <c r="AG27" s="478" t="s">
        <v>165</v>
      </c>
      <c r="AH27" s="479" t="s">
        <v>165</v>
      </c>
      <c r="AI27" s="478"/>
      <c r="AJ27" s="479"/>
      <c r="AK27" s="478"/>
      <c r="AL27" s="480"/>
      <c r="AM27" s="438"/>
      <c r="AN27" s="438"/>
      <c r="AO27" s="446"/>
      <c r="AP27" s="447"/>
    </row>
    <row r="28" spans="1:42" ht="27.95" customHeight="1" x14ac:dyDescent="0.15">
      <c r="A28" s="443" t="s">
        <v>209</v>
      </c>
      <c r="B28" s="482" t="s">
        <v>210</v>
      </c>
      <c r="C28" s="457">
        <v>0</v>
      </c>
      <c r="D28" s="457">
        <v>0</v>
      </c>
      <c r="E28" s="457">
        <v>0</v>
      </c>
      <c r="F28" s="457">
        <v>0</v>
      </c>
      <c r="G28" s="457">
        <v>0</v>
      </c>
      <c r="H28" s="457">
        <v>0</v>
      </c>
      <c r="I28" s="457">
        <v>0</v>
      </c>
      <c r="J28" s="457">
        <v>0</v>
      </c>
      <c r="K28" s="457">
        <v>1399406</v>
      </c>
      <c r="L28" s="457">
        <v>699703</v>
      </c>
      <c r="M28" s="457">
        <v>1377722</v>
      </c>
      <c r="N28" s="457">
        <v>688861</v>
      </c>
      <c r="O28" s="457">
        <v>1377721</v>
      </c>
      <c r="P28" s="477">
        <v>688861</v>
      </c>
      <c r="Q28" s="457">
        <v>1377721</v>
      </c>
      <c r="R28" s="477">
        <v>688861</v>
      </c>
      <c r="S28" s="457">
        <v>1264572</v>
      </c>
      <c r="T28" s="457">
        <v>632286</v>
      </c>
      <c r="U28" s="457">
        <v>1357755</v>
      </c>
      <c r="V28" s="477">
        <v>543102</v>
      </c>
      <c r="W28" s="89">
        <v>1634827</v>
      </c>
      <c r="X28" s="445">
        <v>653931</v>
      </c>
      <c r="Y28" s="89">
        <v>1615002</v>
      </c>
      <c r="Z28" s="445">
        <v>646001</v>
      </c>
      <c r="AA28" s="445">
        <v>1615002</v>
      </c>
      <c r="AB28" s="90">
        <v>323000</v>
      </c>
      <c r="AC28" s="89">
        <v>1731701</v>
      </c>
      <c r="AD28" s="90">
        <v>330772</v>
      </c>
      <c r="AE28" s="89">
        <v>1718177</v>
      </c>
      <c r="AF28" s="90">
        <v>285407</v>
      </c>
      <c r="AG28" s="89">
        <v>1718177</v>
      </c>
      <c r="AH28" s="445">
        <v>273502</v>
      </c>
      <c r="AI28" s="695" t="s">
        <v>165</v>
      </c>
      <c r="AJ28" s="696" t="s">
        <v>164</v>
      </c>
      <c r="AK28" s="695" t="s">
        <v>165</v>
      </c>
      <c r="AL28" s="697" t="s">
        <v>165</v>
      </c>
      <c r="AM28" s="695" t="s">
        <v>165</v>
      </c>
      <c r="AN28" s="695" t="s">
        <v>165</v>
      </c>
      <c r="AO28" s="698" t="s">
        <v>165</v>
      </c>
      <c r="AP28" s="699" t="s">
        <v>165</v>
      </c>
    </row>
    <row r="29" spans="1:42" ht="27.95" customHeight="1" x14ac:dyDescent="0.15">
      <c r="A29" s="483" t="s">
        <v>216</v>
      </c>
      <c r="B29" s="484" t="s">
        <v>217</v>
      </c>
      <c r="C29" s="457">
        <v>0</v>
      </c>
      <c r="D29" s="457">
        <v>0</v>
      </c>
      <c r="E29" s="457">
        <v>0</v>
      </c>
      <c r="F29" s="457">
        <v>0</v>
      </c>
      <c r="G29" s="457">
        <v>0</v>
      </c>
      <c r="H29" s="457">
        <v>0</v>
      </c>
      <c r="I29" s="457">
        <v>0</v>
      </c>
      <c r="J29" s="457">
        <v>0</v>
      </c>
      <c r="K29" s="457">
        <v>0</v>
      </c>
      <c r="L29" s="457">
        <v>0</v>
      </c>
      <c r="M29" s="457">
        <v>0</v>
      </c>
      <c r="N29" s="457">
        <v>0</v>
      </c>
      <c r="O29" s="457">
        <v>0</v>
      </c>
      <c r="P29" s="457">
        <v>0</v>
      </c>
      <c r="Q29" s="457">
        <v>0</v>
      </c>
      <c r="R29" s="457">
        <v>0</v>
      </c>
      <c r="S29" s="457">
        <v>0</v>
      </c>
      <c r="T29" s="457">
        <v>0</v>
      </c>
      <c r="U29" s="457">
        <v>0</v>
      </c>
      <c r="V29" s="457">
        <v>0</v>
      </c>
      <c r="W29" s="457">
        <v>0</v>
      </c>
      <c r="X29" s="457">
        <v>0</v>
      </c>
      <c r="Y29" s="457">
        <v>0</v>
      </c>
      <c r="Z29" s="457">
        <v>0</v>
      </c>
      <c r="AA29" s="457">
        <v>0</v>
      </c>
      <c r="AB29" s="457">
        <v>0</v>
      </c>
      <c r="AC29" s="457">
        <v>0</v>
      </c>
      <c r="AD29" s="457">
        <v>0</v>
      </c>
      <c r="AE29" s="485">
        <v>81933</v>
      </c>
      <c r="AF29" s="90">
        <v>4907</v>
      </c>
      <c r="AG29" s="89">
        <v>97671</v>
      </c>
      <c r="AH29" s="445">
        <v>12776</v>
      </c>
      <c r="AI29" s="89">
        <v>234485</v>
      </c>
      <c r="AJ29" s="445">
        <v>40165</v>
      </c>
      <c r="AK29" s="89">
        <v>170509</v>
      </c>
      <c r="AL29" s="90">
        <v>49828</v>
      </c>
      <c r="AM29" s="89">
        <v>254440</v>
      </c>
      <c r="AN29" s="89">
        <v>53940</v>
      </c>
      <c r="AO29" s="203">
        <v>373818</v>
      </c>
      <c r="AP29" s="455">
        <v>53885</v>
      </c>
    </row>
    <row r="30" spans="1:42" ht="27.95" customHeight="1" x14ac:dyDescent="0.15">
      <c r="A30" s="450" t="s">
        <v>218</v>
      </c>
      <c r="B30" s="433" t="s">
        <v>234</v>
      </c>
      <c r="C30" s="85">
        <v>25061</v>
      </c>
      <c r="D30" s="85">
        <v>10024</v>
      </c>
      <c r="E30" s="89">
        <v>25061</v>
      </c>
      <c r="F30" s="89">
        <v>10024</v>
      </c>
      <c r="G30" s="89">
        <v>21745</v>
      </c>
      <c r="H30" s="89">
        <v>8698</v>
      </c>
      <c r="I30" s="89">
        <v>21745</v>
      </c>
      <c r="J30" s="89">
        <v>8698</v>
      </c>
      <c r="K30" s="89">
        <v>21745</v>
      </c>
      <c r="L30" s="89">
        <v>8698</v>
      </c>
      <c r="M30" s="89">
        <v>20544</v>
      </c>
      <c r="N30" s="89">
        <v>8217</v>
      </c>
      <c r="O30" s="89">
        <v>20544</v>
      </c>
      <c r="P30" s="91">
        <v>8218</v>
      </c>
      <c r="Q30" s="89">
        <v>20544</v>
      </c>
      <c r="R30" s="91">
        <v>8217</v>
      </c>
      <c r="S30" s="89">
        <v>17768</v>
      </c>
      <c r="T30" s="89">
        <v>7107</v>
      </c>
      <c r="U30" s="89">
        <v>17768</v>
      </c>
      <c r="V30" s="91">
        <v>7107</v>
      </c>
      <c r="W30" s="89">
        <v>17768</v>
      </c>
      <c r="X30" s="445">
        <v>7107</v>
      </c>
      <c r="Y30" s="89">
        <v>16564</v>
      </c>
      <c r="Z30" s="445">
        <v>6626</v>
      </c>
      <c r="AA30" s="445">
        <v>16564</v>
      </c>
      <c r="AB30" s="90">
        <v>6626</v>
      </c>
      <c r="AC30" s="89">
        <v>16565</v>
      </c>
      <c r="AD30" s="90">
        <v>6626</v>
      </c>
      <c r="AE30" s="89">
        <v>15342</v>
      </c>
      <c r="AF30" s="90">
        <v>6136</v>
      </c>
      <c r="AG30" s="89">
        <v>15342</v>
      </c>
      <c r="AH30" s="445">
        <v>6137</v>
      </c>
      <c r="AI30" s="89">
        <v>15343</v>
      </c>
      <c r="AJ30" s="445">
        <v>6137</v>
      </c>
      <c r="AK30" s="89">
        <v>14042</v>
      </c>
      <c r="AL30" s="90">
        <v>5617</v>
      </c>
      <c r="AM30" s="89">
        <v>14042</v>
      </c>
      <c r="AN30" s="89">
        <v>5617</v>
      </c>
      <c r="AO30" s="203">
        <v>14042</v>
      </c>
      <c r="AP30" s="455">
        <v>5617</v>
      </c>
    </row>
    <row r="31" spans="1:42" ht="27.95" hidden="1" customHeight="1" x14ac:dyDescent="0.15">
      <c r="A31" s="486" t="s">
        <v>235</v>
      </c>
      <c r="B31" s="433" t="s">
        <v>212</v>
      </c>
      <c r="C31" s="457">
        <v>0</v>
      </c>
      <c r="D31" s="457">
        <v>0</v>
      </c>
      <c r="E31" s="457">
        <v>0</v>
      </c>
      <c r="F31" s="457">
        <v>0</v>
      </c>
      <c r="G31" s="457">
        <v>2038</v>
      </c>
      <c r="H31" s="457">
        <v>1698</v>
      </c>
      <c r="I31" s="457">
        <v>2038</v>
      </c>
      <c r="J31" s="457">
        <v>1698</v>
      </c>
      <c r="K31" s="457">
        <v>2038</v>
      </c>
      <c r="L31" s="457">
        <v>1698</v>
      </c>
      <c r="M31" s="457">
        <v>1950</v>
      </c>
      <c r="N31" s="457">
        <v>1625</v>
      </c>
      <c r="O31" s="457">
        <v>0</v>
      </c>
      <c r="P31" s="477">
        <v>0</v>
      </c>
      <c r="Q31" s="457">
        <v>1950</v>
      </c>
      <c r="R31" s="477">
        <v>1625</v>
      </c>
      <c r="S31" s="457">
        <v>0</v>
      </c>
      <c r="T31" s="457">
        <v>0</v>
      </c>
      <c r="U31" s="457" t="s">
        <v>164</v>
      </c>
      <c r="V31" s="477" t="s">
        <v>164</v>
      </c>
      <c r="W31" s="438" t="s">
        <v>165</v>
      </c>
      <c r="X31" s="439" t="s">
        <v>165</v>
      </c>
      <c r="Y31" s="438" t="s">
        <v>165</v>
      </c>
      <c r="Z31" s="439" t="s">
        <v>165</v>
      </c>
      <c r="AA31" s="439" t="s">
        <v>165</v>
      </c>
      <c r="AB31" s="440" t="s">
        <v>165</v>
      </c>
      <c r="AC31" s="438" t="s">
        <v>165</v>
      </c>
      <c r="AD31" s="440" t="s">
        <v>165</v>
      </c>
      <c r="AE31" s="438" t="s">
        <v>165</v>
      </c>
      <c r="AF31" s="440" t="s">
        <v>165</v>
      </c>
      <c r="AG31" s="478" t="s">
        <v>165</v>
      </c>
      <c r="AH31" s="479" t="s">
        <v>165</v>
      </c>
      <c r="AI31" s="478" t="s">
        <v>165</v>
      </c>
      <c r="AJ31" s="479" t="s">
        <v>165</v>
      </c>
      <c r="AK31" s="478" t="s">
        <v>165</v>
      </c>
      <c r="AL31" s="480" t="s">
        <v>165</v>
      </c>
      <c r="AM31" s="438" t="s">
        <v>165</v>
      </c>
      <c r="AN31" s="438" t="s">
        <v>165</v>
      </c>
      <c r="AO31" s="446"/>
      <c r="AP31" s="447"/>
    </row>
    <row r="32" spans="1:42" ht="27.75" hidden="1" customHeight="1" x14ac:dyDescent="0.15">
      <c r="A32" s="487" t="s">
        <v>236</v>
      </c>
      <c r="B32" s="433" t="s">
        <v>237</v>
      </c>
      <c r="C32" s="89">
        <v>122694</v>
      </c>
      <c r="D32" s="89">
        <v>30674</v>
      </c>
      <c r="E32" s="89">
        <v>122694</v>
      </c>
      <c r="F32" s="89">
        <v>30674</v>
      </c>
      <c r="G32" s="457">
        <v>0</v>
      </c>
      <c r="H32" s="457">
        <v>0</v>
      </c>
      <c r="I32" s="457">
        <v>0</v>
      </c>
      <c r="J32" s="457">
        <v>0</v>
      </c>
      <c r="K32" s="457">
        <v>0</v>
      </c>
      <c r="L32" s="457">
        <v>0</v>
      </c>
      <c r="M32" s="457">
        <v>0</v>
      </c>
      <c r="N32" s="457">
        <v>0</v>
      </c>
      <c r="O32" s="457">
        <v>0</v>
      </c>
      <c r="P32" s="477">
        <v>0</v>
      </c>
      <c r="Q32" s="457">
        <v>0</v>
      </c>
      <c r="R32" s="477">
        <v>0</v>
      </c>
      <c r="S32" s="457">
        <v>0</v>
      </c>
      <c r="T32" s="457">
        <v>0</v>
      </c>
      <c r="U32" s="457" t="s">
        <v>164</v>
      </c>
      <c r="V32" s="477" t="s">
        <v>164</v>
      </c>
      <c r="W32" s="438" t="s">
        <v>165</v>
      </c>
      <c r="X32" s="439" t="s">
        <v>165</v>
      </c>
      <c r="Y32" s="438" t="s">
        <v>165</v>
      </c>
      <c r="Z32" s="439" t="s">
        <v>165</v>
      </c>
      <c r="AA32" s="439" t="s">
        <v>165</v>
      </c>
      <c r="AB32" s="440" t="s">
        <v>165</v>
      </c>
      <c r="AC32" s="438" t="s">
        <v>165</v>
      </c>
      <c r="AD32" s="440" t="s">
        <v>165</v>
      </c>
      <c r="AE32" s="438" t="s">
        <v>165</v>
      </c>
      <c r="AF32" s="440" t="s">
        <v>165</v>
      </c>
      <c r="AG32" s="478" t="s">
        <v>165</v>
      </c>
      <c r="AH32" s="479" t="s">
        <v>165</v>
      </c>
      <c r="AI32" s="478" t="s">
        <v>165</v>
      </c>
      <c r="AJ32" s="479" t="s">
        <v>165</v>
      </c>
      <c r="AK32" s="478" t="s">
        <v>165</v>
      </c>
      <c r="AL32" s="480" t="s">
        <v>165</v>
      </c>
      <c r="AM32" s="438" t="s">
        <v>165</v>
      </c>
      <c r="AN32" s="438" t="s">
        <v>165</v>
      </c>
      <c r="AO32" s="446"/>
      <c r="AP32" s="447"/>
    </row>
    <row r="33" spans="1:42" ht="27.75" hidden="1" customHeight="1" x14ac:dyDescent="0.15">
      <c r="A33" s="486" t="s">
        <v>238</v>
      </c>
      <c r="B33" s="433" t="s">
        <v>239</v>
      </c>
      <c r="C33" s="89">
        <v>861667</v>
      </c>
      <c r="D33" s="89">
        <v>186210</v>
      </c>
      <c r="E33" s="89">
        <v>861667</v>
      </c>
      <c r="F33" s="89">
        <v>186210</v>
      </c>
      <c r="G33" s="458">
        <v>0</v>
      </c>
      <c r="H33" s="458">
        <v>0</v>
      </c>
      <c r="I33" s="458">
        <v>0</v>
      </c>
      <c r="J33" s="458">
        <v>0</v>
      </c>
      <c r="K33" s="458">
        <v>0</v>
      </c>
      <c r="L33" s="458">
        <v>0</v>
      </c>
      <c r="M33" s="458">
        <v>0</v>
      </c>
      <c r="N33" s="458">
        <v>0</v>
      </c>
      <c r="O33" s="458">
        <v>0</v>
      </c>
      <c r="P33" s="459">
        <v>0</v>
      </c>
      <c r="Q33" s="458">
        <v>0</v>
      </c>
      <c r="R33" s="459">
        <v>0</v>
      </c>
      <c r="S33" s="458">
        <v>0</v>
      </c>
      <c r="T33" s="488">
        <v>0</v>
      </c>
      <c r="U33" s="456" t="s">
        <v>164</v>
      </c>
      <c r="V33" s="489" t="s">
        <v>164</v>
      </c>
      <c r="W33" s="438" t="s">
        <v>165</v>
      </c>
      <c r="X33" s="439" t="s">
        <v>165</v>
      </c>
      <c r="Y33" s="438" t="s">
        <v>165</v>
      </c>
      <c r="Z33" s="439" t="s">
        <v>165</v>
      </c>
      <c r="AA33" s="439" t="s">
        <v>165</v>
      </c>
      <c r="AB33" s="440" t="s">
        <v>165</v>
      </c>
      <c r="AC33" s="438" t="s">
        <v>165</v>
      </c>
      <c r="AD33" s="440" t="s">
        <v>165</v>
      </c>
      <c r="AE33" s="438" t="s">
        <v>165</v>
      </c>
      <c r="AF33" s="440" t="s">
        <v>165</v>
      </c>
      <c r="AG33" s="478" t="s">
        <v>165</v>
      </c>
      <c r="AH33" s="479" t="s">
        <v>165</v>
      </c>
      <c r="AI33" s="478" t="s">
        <v>165</v>
      </c>
      <c r="AJ33" s="479" t="s">
        <v>165</v>
      </c>
      <c r="AK33" s="478" t="s">
        <v>165</v>
      </c>
      <c r="AL33" s="480" t="s">
        <v>165</v>
      </c>
      <c r="AM33" s="438" t="s">
        <v>165</v>
      </c>
      <c r="AN33" s="438" t="s">
        <v>165</v>
      </c>
      <c r="AO33" s="446"/>
      <c r="AP33" s="447"/>
    </row>
    <row r="34" spans="1:42" ht="27.95" hidden="1" customHeight="1" x14ac:dyDescent="0.15">
      <c r="A34" s="486" t="s">
        <v>240</v>
      </c>
      <c r="B34" s="433" t="s">
        <v>212</v>
      </c>
      <c r="C34" s="457">
        <v>0</v>
      </c>
      <c r="D34" s="457">
        <v>0</v>
      </c>
      <c r="E34" s="457">
        <v>0</v>
      </c>
      <c r="F34" s="457">
        <v>0</v>
      </c>
      <c r="G34" s="457">
        <v>6815</v>
      </c>
      <c r="H34" s="457">
        <v>4543</v>
      </c>
      <c r="I34" s="457">
        <v>6815</v>
      </c>
      <c r="J34" s="457">
        <v>4543</v>
      </c>
      <c r="K34" s="457">
        <v>6815</v>
      </c>
      <c r="L34" s="457">
        <v>4543</v>
      </c>
      <c r="M34" s="457">
        <v>6527</v>
      </c>
      <c r="N34" s="457">
        <v>4352</v>
      </c>
      <c r="O34" s="457">
        <v>0</v>
      </c>
      <c r="P34" s="477">
        <v>0</v>
      </c>
      <c r="Q34" s="457">
        <v>6527</v>
      </c>
      <c r="R34" s="477">
        <v>4352</v>
      </c>
      <c r="S34" s="457">
        <v>0</v>
      </c>
      <c r="T34" s="457">
        <v>0</v>
      </c>
      <c r="U34" s="457" t="s">
        <v>164</v>
      </c>
      <c r="V34" s="477" t="s">
        <v>164</v>
      </c>
      <c r="W34" s="438" t="s">
        <v>165</v>
      </c>
      <c r="X34" s="439" t="s">
        <v>165</v>
      </c>
      <c r="Y34" s="438" t="s">
        <v>165</v>
      </c>
      <c r="Z34" s="439" t="s">
        <v>165</v>
      </c>
      <c r="AA34" s="439" t="s">
        <v>165</v>
      </c>
      <c r="AB34" s="440" t="s">
        <v>165</v>
      </c>
      <c r="AC34" s="438" t="s">
        <v>165</v>
      </c>
      <c r="AD34" s="440" t="s">
        <v>165</v>
      </c>
      <c r="AE34" s="438" t="s">
        <v>165</v>
      </c>
      <c r="AF34" s="440" t="s">
        <v>165</v>
      </c>
      <c r="AG34" s="478" t="s">
        <v>165</v>
      </c>
      <c r="AH34" s="479" t="s">
        <v>165</v>
      </c>
      <c r="AI34" s="478" t="s">
        <v>165</v>
      </c>
      <c r="AJ34" s="479" t="s">
        <v>165</v>
      </c>
      <c r="AK34" s="478" t="s">
        <v>165</v>
      </c>
      <c r="AL34" s="480" t="s">
        <v>165</v>
      </c>
      <c r="AM34" s="438" t="s">
        <v>165</v>
      </c>
      <c r="AN34" s="438" t="s">
        <v>165</v>
      </c>
      <c r="AO34" s="446"/>
      <c r="AP34" s="447"/>
    </row>
    <row r="35" spans="1:42" ht="27.95" hidden="1" customHeight="1" x14ac:dyDescent="0.15">
      <c r="A35" s="486" t="s">
        <v>241</v>
      </c>
      <c r="B35" s="433" t="s">
        <v>237</v>
      </c>
      <c r="C35" s="457">
        <v>0</v>
      </c>
      <c r="D35" s="457">
        <v>0</v>
      </c>
      <c r="E35" s="457">
        <v>0</v>
      </c>
      <c r="F35" s="457">
        <v>0</v>
      </c>
      <c r="G35" s="457">
        <v>365277</v>
      </c>
      <c r="H35" s="457">
        <v>45660</v>
      </c>
      <c r="I35" s="457">
        <v>365277</v>
      </c>
      <c r="J35" s="457">
        <v>45660</v>
      </c>
      <c r="K35" s="457">
        <v>365277</v>
      </c>
      <c r="L35" s="457">
        <v>45660</v>
      </c>
      <c r="M35" s="457">
        <v>356630</v>
      </c>
      <c r="N35" s="457">
        <v>44579</v>
      </c>
      <c r="O35" s="457">
        <v>356630</v>
      </c>
      <c r="P35" s="477">
        <v>44579</v>
      </c>
      <c r="Q35" s="458">
        <v>0</v>
      </c>
      <c r="R35" s="459">
        <v>0</v>
      </c>
      <c r="S35" s="458">
        <v>0</v>
      </c>
      <c r="T35" s="458">
        <v>0</v>
      </c>
      <c r="U35" s="457" t="s">
        <v>164</v>
      </c>
      <c r="V35" s="477" t="s">
        <v>164</v>
      </c>
      <c r="W35" s="438" t="s">
        <v>165</v>
      </c>
      <c r="X35" s="439" t="s">
        <v>165</v>
      </c>
      <c r="Y35" s="438" t="s">
        <v>165</v>
      </c>
      <c r="Z35" s="439" t="s">
        <v>165</v>
      </c>
      <c r="AA35" s="439" t="s">
        <v>165</v>
      </c>
      <c r="AB35" s="440" t="s">
        <v>165</v>
      </c>
      <c r="AC35" s="438" t="s">
        <v>165</v>
      </c>
      <c r="AD35" s="440" t="s">
        <v>165</v>
      </c>
      <c r="AE35" s="438" t="s">
        <v>165</v>
      </c>
      <c r="AF35" s="440" t="s">
        <v>165</v>
      </c>
      <c r="AG35" s="478" t="s">
        <v>165</v>
      </c>
      <c r="AH35" s="479" t="s">
        <v>165</v>
      </c>
      <c r="AI35" s="478" t="s">
        <v>165</v>
      </c>
      <c r="AJ35" s="479" t="s">
        <v>165</v>
      </c>
      <c r="AK35" s="478" t="s">
        <v>165</v>
      </c>
      <c r="AL35" s="480" t="s">
        <v>165</v>
      </c>
      <c r="AM35" s="438" t="s">
        <v>165</v>
      </c>
      <c r="AN35" s="438" t="s">
        <v>165</v>
      </c>
      <c r="AO35" s="446"/>
      <c r="AP35" s="447"/>
    </row>
    <row r="36" spans="1:42" ht="27.95" hidden="1" customHeight="1" x14ac:dyDescent="0.15">
      <c r="A36" s="486" t="s">
        <v>242</v>
      </c>
      <c r="B36" s="433" t="s">
        <v>243</v>
      </c>
      <c r="C36" s="456">
        <v>0</v>
      </c>
      <c r="D36" s="456">
        <v>0</v>
      </c>
      <c r="E36" s="457">
        <v>0</v>
      </c>
      <c r="F36" s="457">
        <v>0</v>
      </c>
      <c r="G36" s="457">
        <v>0</v>
      </c>
      <c r="H36" s="457">
        <v>0</v>
      </c>
      <c r="I36" s="457">
        <v>4020864</v>
      </c>
      <c r="J36" s="457">
        <v>1889806</v>
      </c>
      <c r="K36" s="457">
        <v>4208563</v>
      </c>
      <c r="L36" s="457">
        <v>1851768</v>
      </c>
      <c r="M36" s="457">
        <v>0</v>
      </c>
      <c r="N36" s="457">
        <v>0</v>
      </c>
      <c r="O36" s="457">
        <v>0</v>
      </c>
      <c r="P36" s="477">
        <v>0</v>
      </c>
      <c r="Q36" s="458">
        <v>0</v>
      </c>
      <c r="R36" s="477">
        <v>0</v>
      </c>
      <c r="S36" s="458">
        <v>0</v>
      </c>
      <c r="T36" s="457">
        <v>0</v>
      </c>
      <c r="U36" s="457" t="s">
        <v>164</v>
      </c>
      <c r="V36" s="477" t="s">
        <v>164</v>
      </c>
      <c r="W36" s="438" t="s">
        <v>165</v>
      </c>
      <c r="X36" s="439" t="s">
        <v>165</v>
      </c>
      <c r="Y36" s="438" t="s">
        <v>165</v>
      </c>
      <c r="Z36" s="439" t="s">
        <v>165</v>
      </c>
      <c r="AA36" s="439" t="s">
        <v>165</v>
      </c>
      <c r="AB36" s="440" t="s">
        <v>165</v>
      </c>
      <c r="AC36" s="438" t="s">
        <v>165</v>
      </c>
      <c r="AD36" s="440" t="s">
        <v>165</v>
      </c>
      <c r="AE36" s="438" t="s">
        <v>165</v>
      </c>
      <c r="AF36" s="440" t="s">
        <v>165</v>
      </c>
      <c r="AG36" s="478" t="s">
        <v>165</v>
      </c>
      <c r="AH36" s="479" t="s">
        <v>165</v>
      </c>
      <c r="AI36" s="478" t="s">
        <v>165</v>
      </c>
      <c r="AJ36" s="479" t="s">
        <v>165</v>
      </c>
      <c r="AK36" s="478" t="s">
        <v>165</v>
      </c>
      <c r="AL36" s="480" t="s">
        <v>165</v>
      </c>
      <c r="AM36" s="438" t="s">
        <v>165</v>
      </c>
      <c r="AN36" s="438" t="s">
        <v>165</v>
      </c>
      <c r="AO36" s="446"/>
      <c r="AP36" s="447"/>
    </row>
    <row r="37" spans="1:42" ht="27.95" hidden="1" customHeight="1" x14ac:dyDescent="0.15">
      <c r="A37" s="486" t="s">
        <v>244</v>
      </c>
      <c r="B37" s="490" t="s">
        <v>245</v>
      </c>
      <c r="C37" s="456">
        <v>0</v>
      </c>
      <c r="D37" s="456">
        <v>0</v>
      </c>
      <c r="E37" s="457">
        <v>0</v>
      </c>
      <c r="F37" s="457">
        <v>0</v>
      </c>
      <c r="G37" s="457">
        <v>0</v>
      </c>
      <c r="H37" s="457">
        <v>0</v>
      </c>
      <c r="I37" s="457">
        <v>773877</v>
      </c>
      <c r="J37" s="457">
        <v>366751</v>
      </c>
      <c r="K37" s="457">
        <v>773877</v>
      </c>
      <c r="L37" s="457">
        <v>351470</v>
      </c>
      <c r="M37" s="457">
        <v>741279</v>
      </c>
      <c r="N37" s="457">
        <v>321938</v>
      </c>
      <c r="O37" s="457">
        <v>741279</v>
      </c>
      <c r="P37" s="477">
        <v>307304</v>
      </c>
      <c r="Q37" s="457">
        <v>0</v>
      </c>
      <c r="R37" s="461">
        <v>0</v>
      </c>
      <c r="S37" s="457">
        <v>0</v>
      </c>
      <c r="T37" s="457">
        <v>0</v>
      </c>
      <c r="U37" s="457" t="s">
        <v>164</v>
      </c>
      <c r="V37" s="477" t="s">
        <v>164</v>
      </c>
      <c r="W37" s="438" t="s">
        <v>165</v>
      </c>
      <c r="X37" s="439" t="s">
        <v>165</v>
      </c>
      <c r="Y37" s="438" t="s">
        <v>165</v>
      </c>
      <c r="Z37" s="439" t="s">
        <v>165</v>
      </c>
      <c r="AA37" s="439" t="s">
        <v>165</v>
      </c>
      <c r="AB37" s="440" t="s">
        <v>165</v>
      </c>
      <c r="AC37" s="438" t="s">
        <v>165</v>
      </c>
      <c r="AD37" s="440" t="s">
        <v>165</v>
      </c>
      <c r="AE37" s="438" t="s">
        <v>165</v>
      </c>
      <c r="AF37" s="440" t="s">
        <v>165</v>
      </c>
      <c r="AG37" s="478" t="s">
        <v>165</v>
      </c>
      <c r="AH37" s="479" t="s">
        <v>165</v>
      </c>
      <c r="AI37" s="478" t="s">
        <v>165</v>
      </c>
      <c r="AJ37" s="479" t="s">
        <v>165</v>
      </c>
      <c r="AK37" s="478" t="s">
        <v>165</v>
      </c>
      <c r="AL37" s="480" t="s">
        <v>165</v>
      </c>
      <c r="AM37" s="438" t="s">
        <v>165</v>
      </c>
      <c r="AN37" s="438" t="s">
        <v>165</v>
      </c>
      <c r="AO37" s="446"/>
      <c r="AP37" s="447"/>
    </row>
    <row r="38" spans="1:42" ht="27.95" customHeight="1" x14ac:dyDescent="0.15">
      <c r="A38" s="450" t="s">
        <v>246</v>
      </c>
      <c r="B38" s="451" t="s">
        <v>247</v>
      </c>
      <c r="C38" s="85">
        <v>25061</v>
      </c>
      <c r="D38" s="85">
        <v>10024</v>
      </c>
      <c r="E38" s="89">
        <v>25061</v>
      </c>
      <c r="F38" s="89">
        <v>10024</v>
      </c>
      <c r="G38" s="89">
        <v>21745</v>
      </c>
      <c r="H38" s="89">
        <v>8698</v>
      </c>
      <c r="I38" s="89">
        <v>21745</v>
      </c>
      <c r="J38" s="89">
        <v>8698</v>
      </c>
      <c r="K38" s="89">
        <v>21745</v>
      </c>
      <c r="L38" s="89">
        <v>8698</v>
      </c>
      <c r="M38" s="89">
        <v>20544</v>
      </c>
      <c r="N38" s="89">
        <v>8217</v>
      </c>
      <c r="O38" s="89">
        <v>20544</v>
      </c>
      <c r="P38" s="91">
        <v>8218</v>
      </c>
      <c r="Q38" s="89">
        <v>20544</v>
      </c>
      <c r="R38" s="91">
        <v>8217</v>
      </c>
      <c r="S38" s="89">
        <v>17768</v>
      </c>
      <c r="T38" s="89">
        <v>7107</v>
      </c>
      <c r="U38" s="89">
        <v>17768</v>
      </c>
      <c r="V38" s="91">
        <v>7107</v>
      </c>
      <c r="W38" s="89">
        <v>17768</v>
      </c>
      <c r="X38" s="445">
        <v>7107</v>
      </c>
      <c r="Y38" s="89">
        <v>16564</v>
      </c>
      <c r="Z38" s="445">
        <v>6626</v>
      </c>
      <c r="AA38" s="445">
        <v>16564</v>
      </c>
      <c r="AB38" s="90">
        <v>6626</v>
      </c>
      <c r="AC38" s="89">
        <v>16565</v>
      </c>
      <c r="AD38" s="90">
        <v>6626</v>
      </c>
      <c r="AE38" s="438" t="s">
        <v>164</v>
      </c>
      <c r="AF38" s="440" t="s">
        <v>164</v>
      </c>
      <c r="AG38" s="695" t="s">
        <v>164</v>
      </c>
      <c r="AH38" s="696" t="s">
        <v>164</v>
      </c>
      <c r="AI38" s="695" t="s">
        <v>164</v>
      </c>
      <c r="AJ38" s="696" t="s">
        <v>164</v>
      </c>
      <c r="AK38" s="695" t="s">
        <v>164</v>
      </c>
      <c r="AL38" s="697" t="s">
        <v>164</v>
      </c>
      <c r="AM38" s="89">
        <v>85792</v>
      </c>
      <c r="AN38" s="89">
        <v>85792</v>
      </c>
      <c r="AO38" s="203">
        <v>163039</v>
      </c>
      <c r="AP38" s="455">
        <v>163039</v>
      </c>
    </row>
    <row r="39" spans="1:42" ht="27.95" customHeight="1" x14ac:dyDescent="0.15">
      <c r="A39" s="708" t="s">
        <v>58</v>
      </c>
      <c r="B39" s="709"/>
      <c r="C39" s="89">
        <f t="shared" ref="C39:AD39" si="2">SUM(C23:C37)</f>
        <v>6405879</v>
      </c>
      <c r="D39" s="89">
        <f t="shared" si="2"/>
        <v>2924724</v>
      </c>
      <c r="E39" s="89">
        <f t="shared" si="2"/>
        <v>6445036</v>
      </c>
      <c r="F39" s="89">
        <f t="shared" si="2"/>
        <v>2938833</v>
      </c>
      <c r="G39" s="89">
        <f t="shared" si="2"/>
        <v>5429219</v>
      </c>
      <c r="H39" s="89">
        <f t="shared" si="2"/>
        <v>2571953</v>
      </c>
      <c r="I39" s="89">
        <f t="shared" si="2"/>
        <v>5430464</v>
      </c>
      <c r="J39" s="89">
        <f t="shared" si="2"/>
        <v>2435680</v>
      </c>
      <c r="K39" s="89">
        <f t="shared" si="2"/>
        <v>7017569</v>
      </c>
      <c r="L39" s="89">
        <f t="shared" si="2"/>
        <v>3082064</v>
      </c>
      <c r="M39" s="89">
        <f>SUM(M23:M37)</f>
        <v>6839143</v>
      </c>
      <c r="N39" s="89">
        <f>SUM(N23:N37)</f>
        <v>2823340</v>
      </c>
      <c r="O39" s="89">
        <f>SUM(O23:O37)</f>
        <v>6821145</v>
      </c>
      <c r="P39" s="91">
        <f>SUM(P23:P37)</f>
        <v>2798922</v>
      </c>
      <c r="Q39" s="89">
        <f t="shared" si="2"/>
        <v>6417080</v>
      </c>
      <c r="R39" s="91">
        <f t="shared" si="2"/>
        <v>2727185</v>
      </c>
      <c r="S39" s="89">
        <f t="shared" si="2"/>
        <v>5837466</v>
      </c>
      <c r="T39" s="91">
        <f t="shared" si="2"/>
        <v>2481782</v>
      </c>
      <c r="U39" s="89">
        <f t="shared" si="2"/>
        <v>5904327</v>
      </c>
      <c r="V39" s="91">
        <f t="shared" si="2"/>
        <v>2382070</v>
      </c>
      <c r="W39" s="89">
        <f t="shared" si="2"/>
        <v>6209072</v>
      </c>
      <c r="X39" s="89">
        <f t="shared" si="2"/>
        <v>2504181</v>
      </c>
      <c r="Y39" s="89">
        <f t="shared" si="2"/>
        <v>6141909</v>
      </c>
      <c r="Z39" s="445">
        <f t="shared" si="2"/>
        <v>2478641</v>
      </c>
      <c r="AA39" s="445">
        <f t="shared" si="2"/>
        <v>6243963</v>
      </c>
      <c r="AB39" s="90">
        <f t="shared" si="2"/>
        <v>2194613</v>
      </c>
      <c r="AC39" s="89">
        <f t="shared" si="2"/>
        <v>6586935</v>
      </c>
      <c r="AD39" s="90">
        <f t="shared" si="2"/>
        <v>2285998</v>
      </c>
      <c r="AE39" s="89">
        <f t="shared" ref="AE39:AN39" si="3">SUM(AE23:AE38)</f>
        <v>6569353</v>
      </c>
      <c r="AF39" s="89">
        <f t="shared" si="3"/>
        <v>2211021</v>
      </c>
      <c r="AG39" s="89">
        <f t="shared" si="3"/>
        <v>6624033</v>
      </c>
      <c r="AH39" s="89">
        <f t="shared" si="3"/>
        <v>2220907</v>
      </c>
      <c r="AI39" s="89">
        <f t="shared" si="3"/>
        <v>5943514</v>
      </c>
      <c r="AJ39" s="89">
        <f t="shared" si="3"/>
        <v>2249676</v>
      </c>
      <c r="AK39" s="89">
        <f t="shared" si="3"/>
        <v>5800576</v>
      </c>
      <c r="AL39" s="89">
        <f t="shared" si="3"/>
        <v>2239241</v>
      </c>
      <c r="AM39" s="89">
        <f t="shared" si="3"/>
        <v>6005836</v>
      </c>
      <c r="AN39" s="89">
        <f t="shared" si="3"/>
        <v>2335635</v>
      </c>
      <c r="AO39" s="203">
        <f>SUM(AO23:AO38)</f>
        <v>6186259</v>
      </c>
      <c r="AP39" s="455">
        <f>SUM(AP23:AP38)</f>
        <v>2406232</v>
      </c>
    </row>
    <row r="40" spans="1:42" ht="27.95" customHeight="1" thickBot="1" x14ac:dyDescent="0.2">
      <c r="A40" s="725" t="s">
        <v>69</v>
      </c>
      <c r="B40" s="726"/>
      <c r="C40" s="462">
        <v>100</v>
      </c>
      <c r="D40" s="462">
        <v>100</v>
      </c>
      <c r="E40" s="463">
        <f t="shared" ref="E40:AL40" si="4">ROUND((E39/C39)*100,1)</f>
        <v>100.6</v>
      </c>
      <c r="F40" s="463">
        <f t="shared" si="4"/>
        <v>100.5</v>
      </c>
      <c r="G40" s="463">
        <f t="shared" si="4"/>
        <v>84.2</v>
      </c>
      <c r="H40" s="463">
        <f t="shared" si="4"/>
        <v>87.5</v>
      </c>
      <c r="I40" s="464">
        <f t="shared" si="4"/>
        <v>100</v>
      </c>
      <c r="J40" s="464">
        <f t="shared" si="4"/>
        <v>94.7</v>
      </c>
      <c r="K40" s="463">
        <f t="shared" si="4"/>
        <v>129.19999999999999</v>
      </c>
      <c r="L40" s="463">
        <f t="shared" si="4"/>
        <v>126.5</v>
      </c>
      <c r="M40" s="463">
        <f t="shared" si="4"/>
        <v>97.5</v>
      </c>
      <c r="N40" s="463">
        <f t="shared" si="4"/>
        <v>91.6</v>
      </c>
      <c r="O40" s="463">
        <f t="shared" si="4"/>
        <v>99.7</v>
      </c>
      <c r="P40" s="465">
        <f t="shared" si="4"/>
        <v>99.1</v>
      </c>
      <c r="Q40" s="463">
        <f t="shared" si="4"/>
        <v>94.1</v>
      </c>
      <c r="R40" s="465">
        <f t="shared" si="4"/>
        <v>97.4</v>
      </c>
      <c r="S40" s="463">
        <f t="shared" si="4"/>
        <v>91</v>
      </c>
      <c r="T40" s="465">
        <f t="shared" si="4"/>
        <v>91</v>
      </c>
      <c r="U40" s="463">
        <f t="shared" si="4"/>
        <v>101.1</v>
      </c>
      <c r="V40" s="465">
        <f t="shared" si="4"/>
        <v>96</v>
      </c>
      <c r="W40" s="462">
        <f t="shared" si="4"/>
        <v>105.2</v>
      </c>
      <c r="X40" s="462">
        <f t="shared" si="4"/>
        <v>105.1</v>
      </c>
      <c r="Y40" s="94">
        <f t="shared" si="4"/>
        <v>98.9</v>
      </c>
      <c r="Z40" s="467">
        <f t="shared" si="4"/>
        <v>99</v>
      </c>
      <c r="AA40" s="467">
        <f t="shared" si="4"/>
        <v>101.7</v>
      </c>
      <c r="AB40" s="95">
        <f t="shared" si="4"/>
        <v>88.5</v>
      </c>
      <c r="AC40" s="94">
        <f t="shared" si="4"/>
        <v>105.5</v>
      </c>
      <c r="AD40" s="95">
        <f t="shared" si="4"/>
        <v>104.2</v>
      </c>
      <c r="AE40" s="94">
        <f t="shared" si="4"/>
        <v>99.7</v>
      </c>
      <c r="AF40" s="95">
        <f t="shared" si="4"/>
        <v>96.7</v>
      </c>
      <c r="AG40" s="94">
        <f t="shared" si="4"/>
        <v>100.8</v>
      </c>
      <c r="AH40" s="467">
        <f t="shared" si="4"/>
        <v>100.4</v>
      </c>
      <c r="AI40" s="94">
        <f t="shared" si="4"/>
        <v>89.7</v>
      </c>
      <c r="AJ40" s="467">
        <f t="shared" si="4"/>
        <v>101.3</v>
      </c>
      <c r="AK40" s="94">
        <f t="shared" si="4"/>
        <v>97.6</v>
      </c>
      <c r="AL40" s="95">
        <f t="shared" si="4"/>
        <v>99.5</v>
      </c>
      <c r="AM40" s="94">
        <f>ROUND((AM39/AK39)*100,1)</f>
        <v>103.5</v>
      </c>
      <c r="AN40" s="94">
        <f>ROUND((AN39/AL39)*100,1)</f>
        <v>104.3</v>
      </c>
      <c r="AO40" s="468">
        <f>ROUND((AO39/AM39)*100,1)</f>
        <v>103</v>
      </c>
      <c r="AP40" s="469">
        <f>ROUND((AP39/AN39)*100,1)</f>
        <v>103</v>
      </c>
    </row>
    <row r="41" spans="1:42" ht="21" customHeight="1" x14ac:dyDescent="0.15">
      <c r="A41" s="417" t="s">
        <v>248</v>
      </c>
      <c r="B41" s="417"/>
      <c r="C41" s="417"/>
      <c r="D41" s="417"/>
      <c r="E41" s="417"/>
      <c r="F41" s="417"/>
      <c r="G41" s="417"/>
      <c r="H41" s="417"/>
      <c r="I41" s="417"/>
      <c r="J41" s="417"/>
      <c r="K41" s="417"/>
      <c r="L41" s="417"/>
      <c r="M41" s="417"/>
      <c r="N41" s="417"/>
      <c r="O41" s="417"/>
      <c r="P41" s="417"/>
      <c r="Q41" s="417"/>
      <c r="R41" s="417"/>
      <c r="S41" s="417"/>
      <c r="T41" s="417"/>
      <c r="U41" s="417"/>
      <c r="V41" s="417"/>
      <c r="W41" s="417"/>
      <c r="X41" s="417"/>
      <c r="Y41" s="417"/>
      <c r="Z41" s="417"/>
      <c r="AA41" s="417"/>
      <c r="AB41" s="417"/>
      <c r="AC41" s="417"/>
      <c r="AD41" s="417"/>
      <c r="AE41" s="417"/>
      <c r="AF41" s="417"/>
      <c r="AG41" s="417"/>
      <c r="AH41" s="417"/>
      <c r="AI41" s="417"/>
      <c r="AJ41" s="417"/>
      <c r="AK41" s="417"/>
      <c r="AL41" s="417"/>
      <c r="AM41" s="417"/>
      <c r="AN41" s="417"/>
      <c r="AO41" s="417"/>
      <c r="AP41" s="417"/>
    </row>
  </sheetData>
  <mergeCells count="46">
    <mergeCell ref="AI21:AJ21"/>
    <mergeCell ref="AK21:AL21"/>
    <mergeCell ref="AM21:AN21"/>
    <mergeCell ref="AO21:AP21"/>
    <mergeCell ref="A39:B39"/>
    <mergeCell ref="AE21:AF21"/>
    <mergeCell ref="AG21:AH21"/>
    <mergeCell ref="A40:B40"/>
    <mergeCell ref="W21:X21"/>
    <mergeCell ref="Y21:Z21"/>
    <mergeCell ref="AA21:AB21"/>
    <mergeCell ref="AC21:AD21"/>
    <mergeCell ref="K21:L21"/>
    <mergeCell ref="M21:N21"/>
    <mergeCell ref="O21:P21"/>
    <mergeCell ref="Q21:R21"/>
    <mergeCell ref="S21:T21"/>
    <mergeCell ref="U21:V21"/>
    <mergeCell ref="A21:B22"/>
    <mergeCell ref="C21:D21"/>
    <mergeCell ref="E21:F21"/>
    <mergeCell ref="G21:H21"/>
    <mergeCell ref="I21:J21"/>
    <mergeCell ref="AK4:AL4"/>
    <mergeCell ref="AM4:AN4"/>
    <mergeCell ref="AO4:AP4"/>
    <mergeCell ref="A15:B15"/>
    <mergeCell ref="A16:B16"/>
    <mergeCell ref="Y4:Z4"/>
    <mergeCell ref="AA4:AB4"/>
    <mergeCell ref="AC4:AD4"/>
    <mergeCell ref="AE4:AF4"/>
    <mergeCell ref="AG4:AH4"/>
    <mergeCell ref="AI4:AJ4"/>
    <mergeCell ref="M4:N4"/>
    <mergeCell ref="O4:P4"/>
    <mergeCell ref="Q4:R4"/>
    <mergeCell ref="S4:T4"/>
    <mergeCell ref="U4:V4"/>
    <mergeCell ref="W4:X4"/>
    <mergeCell ref="A4:B5"/>
    <mergeCell ref="C4:D4"/>
    <mergeCell ref="E4:F4"/>
    <mergeCell ref="G4:H4"/>
    <mergeCell ref="I4:J4"/>
    <mergeCell ref="K4:L4"/>
  </mergeCells>
  <phoneticPr fontId="4"/>
  <pageMargins left="1.1811023622047245" right="0.70866141732283472" top="0.39370078740157483" bottom="0.39370078740157483" header="0.31496062992125984" footer="0.31496062992125984"/>
  <pageSetup paperSize="9" scale="69" orientation="landscape" r:id="rId1"/>
  <headerFooter scaleWithDoc="0"/>
  <rowBreaks count="1" manualBreakCount="1">
    <brk id="41" max="37" man="1"/>
  </rowBreaks>
  <colBreaks count="1" manualBreakCount="1">
    <brk id="36" max="4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E3BF2-0E52-45A6-8EA3-C0FAA259D0A1}">
  <sheetPr>
    <pageSetUpPr autoPageBreaks="0"/>
  </sheetPr>
  <dimension ref="A1:AP67"/>
  <sheetViews>
    <sheetView showGridLines="0" view="pageBreakPreview" zoomScale="85" zoomScaleNormal="100" zoomScaleSheetLayoutView="85" workbookViewId="0">
      <pane xSplit="4" ySplit="5" topLeftCell="AG12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RowHeight="13.5" x14ac:dyDescent="0.15"/>
  <cols>
    <col min="1" max="1" width="19.125" style="111" customWidth="1"/>
    <col min="2" max="2" width="26.75" style="111" customWidth="1"/>
    <col min="3" max="3" width="9.875" style="111" hidden="1" customWidth="1"/>
    <col min="4" max="4" width="11" style="111" hidden="1" customWidth="1"/>
    <col min="5" max="5" width="9.75" style="111" hidden="1" customWidth="1"/>
    <col min="6" max="6" width="11" style="111" hidden="1" customWidth="1"/>
    <col min="7" max="7" width="9.75" style="111" hidden="1" customWidth="1"/>
    <col min="8" max="8" width="11" style="111" hidden="1" customWidth="1"/>
    <col min="9" max="9" width="9.75" style="111" hidden="1" customWidth="1"/>
    <col min="10" max="10" width="11" style="111" hidden="1" customWidth="1"/>
    <col min="11" max="11" width="9.75" style="111" hidden="1" customWidth="1"/>
    <col min="12" max="12" width="11" style="111" hidden="1" customWidth="1"/>
    <col min="13" max="13" width="9.75" style="111" hidden="1" customWidth="1"/>
    <col min="14" max="14" width="11" style="111" hidden="1" customWidth="1"/>
    <col min="15" max="15" width="9.75" style="111" hidden="1" customWidth="1"/>
    <col min="16" max="16" width="11" style="111" hidden="1" customWidth="1"/>
    <col min="17" max="17" width="9.75" style="111" hidden="1" customWidth="1"/>
    <col min="18" max="18" width="11" style="111" hidden="1" customWidth="1"/>
    <col min="19" max="19" width="9.75" style="111" hidden="1" customWidth="1"/>
    <col min="20" max="20" width="11" style="111" hidden="1" customWidth="1"/>
    <col min="21" max="21" width="9.75" style="111" hidden="1" customWidth="1"/>
    <col min="22" max="24" width="11" style="111" hidden="1" customWidth="1"/>
    <col min="25" max="25" width="10" style="111" hidden="1" customWidth="1"/>
    <col min="26" max="26" width="10.5" style="111" hidden="1" customWidth="1"/>
    <col min="27" max="27" width="10.25" style="111" hidden="1" customWidth="1"/>
    <col min="28" max="28" width="10.375" style="111" hidden="1" customWidth="1"/>
    <col min="29" max="29" width="11" style="111" hidden="1" customWidth="1"/>
    <col min="30" max="30" width="11.5" style="111" hidden="1" customWidth="1"/>
    <col min="31" max="31" width="10.75" style="111" hidden="1" customWidth="1"/>
    <col min="32" max="32" width="11.375" style="111" hidden="1" customWidth="1"/>
    <col min="33" max="33" width="10.5" style="111" customWidth="1"/>
    <col min="34" max="34" width="12" style="111" customWidth="1"/>
    <col min="35" max="35" width="10.5" style="111" customWidth="1"/>
    <col min="36" max="36" width="12" style="111" customWidth="1"/>
    <col min="37" max="37" width="10.5" style="111" customWidth="1"/>
    <col min="38" max="38" width="12" style="111" customWidth="1"/>
    <col min="39" max="39" width="10.5" style="111" customWidth="1"/>
    <col min="40" max="40" width="12" style="111" customWidth="1"/>
    <col min="41" max="41" width="10.5" style="111" customWidth="1"/>
    <col min="42" max="42" width="12" style="111" customWidth="1"/>
    <col min="43" max="256" width="9" style="111"/>
    <col min="257" max="257" width="19.125" style="111" customWidth="1"/>
    <col min="258" max="258" width="26.75" style="111" customWidth="1"/>
    <col min="259" max="288" width="0" style="111" hidden="1" customWidth="1"/>
    <col min="289" max="289" width="10.5" style="111" customWidth="1"/>
    <col min="290" max="290" width="12" style="111" customWidth="1"/>
    <col min="291" max="291" width="10.5" style="111" customWidth="1"/>
    <col min="292" max="292" width="12" style="111" customWidth="1"/>
    <col min="293" max="293" width="10.5" style="111" customWidth="1"/>
    <col min="294" max="294" width="12" style="111" customWidth="1"/>
    <col min="295" max="295" width="10.5" style="111" customWidth="1"/>
    <col min="296" max="296" width="12" style="111" customWidth="1"/>
    <col min="297" max="297" width="10.5" style="111" customWidth="1"/>
    <col min="298" max="298" width="12" style="111" customWidth="1"/>
    <col min="299" max="512" width="9" style="111"/>
    <col min="513" max="513" width="19.125" style="111" customWidth="1"/>
    <col min="514" max="514" width="26.75" style="111" customWidth="1"/>
    <col min="515" max="544" width="0" style="111" hidden="1" customWidth="1"/>
    <col min="545" max="545" width="10.5" style="111" customWidth="1"/>
    <col min="546" max="546" width="12" style="111" customWidth="1"/>
    <col min="547" max="547" width="10.5" style="111" customWidth="1"/>
    <col min="548" max="548" width="12" style="111" customWidth="1"/>
    <col min="549" max="549" width="10.5" style="111" customWidth="1"/>
    <col min="550" max="550" width="12" style="111" customWidth="1"/>
    <col min="551" max="551" width="10.5" style="111" customWidth="1"/>
    <col min="552" max="552" width="12" style="111" customWidth="1"/>
    <col min="553" max="553" width="10.5" style="111" customWidth="1"/>
    <col min="554" max="554" width="12" style="111" customWidth="1"/>
    <col min="555" max="768" width="9" style="111"/>
    <col min="769" max="769" width="19.125" style="111" customWidth="1"/>
    <col min="770" max="770" width="26.75" style="111" customWidth="1"/>
    <col min="771" max="800" width="0" style="111" hidden="1" customWidth="1"/>
    <col min="801" max="801" width="10.5" style="111" customWidth="1"/>
    <col min="802" max="802" width="12" style="111" customWidth="1"/>
    <col min="803" max="803" width="10.5" style="111" customWidth="1"/>
    <col min="804" max="804" width="12" style="111" customWidth="1"/>
    <col min="805" max="805" width="10.5" style="111" customWidth="1"/>
    <col min="806" max="806" width="12" style="111" customWidth="1"/>
    <col min="807" max="807" width="10.5" style="111" customWidth="1"/>
    <col min="808" max="808" width="12" style="111" customWidth="1"/>
    <col min="809" max="809" width="10.5" style="111" customWidth="1"/>
    <col min="810" max="810" width="12" style="111" customWidth="1"/>
    <col min="811" max="1024" width="9" style="111"/>
    <col min="1025" max="1025" width="19.125" style="111" customWidth="1"/>
    <col min="1026" max="1026" width="26.75" style="111" customWidth="1"/>
    <col min="1027" max="1056" width="0" style="111" hidden="1" customWidth="1"/>
    <col min="1057" max="1057" width="10.5" style="111" customWidth="1"/>
    <col min="1058" max="1058" width="12" style="111" customWidth="1"/>
    <col min="1059" max="1059" width="10.5" style="111" customWidth="1"/>
    <col min="1060" max="1060" width="12" style="111" customWidth="1"/>
    <col min="1061" max="1061" width="10.5" style="111" customWidth="1"/>
    <col min="1062" max="1062" width="12" style="111" customWidth="1"/>
    <col min="1063" max="1063" width="10.5" style="111" customWidth="1"/>
    <col min="1064" max="1064" width="12" style="111" customWidth="1"/>
    <col min="1065" max="1065" width="10.5" style="111" customWidth="1"/>
    <col min="1066" max="1066" width="12" style="111" customWidth="1"/>
    <col min="1067" max="1280" width="9" style="111"/>
    <col min="1281" max="1281" width="19.125" style="111" customWidth="1"/>
    <col min="1282" max="1282" width="26.75" style="111" customWidth="1"/>
    <col min="1283" max="1312" width="0" style="111" hidden="1" customWidth="1"/>
    <col min="1313" max="1313" width="10.5" style="111" customWidth="1"/>
    <col min="1314" max="1314" width="12" style="111" customWidth="1"/>
    <col min="1315" max="1315" width="10.5" style="111" customWidth="1"/>
    <col min="1316" max="1316" width="12" style="111" customWidth="1"/>
    <col min="1317" max="1317" width="10.5" style="111" customWidth="1"/>
    <col min="1318" max="1318" width="12" style="111" customWidth="1"/>
    <col min="1319" max="1319" width="10.5" style="111" customWidth="1"/>
    <col min="1320" max="1320" width="12" style="111" customWidth="1"/>
    <col min="1321" max="1321" width="10.5" style="111" customWidth="1"/>
    <col min="1322" max="1322" width="12" style="111" customWidth="1"/>
    <col min="1323" max="1536" width="9" style="111"/>
    <col min="1537" max="1537" width="19.125" style="111" customWidth="1"/>
    <col min="1538" max="1538" width="26.75" style="111" customWidth="1"/>
    <col min="1539" max="1568" width="0" style="111" hidden="1" customWidth="1"/>
    <col min="1569" max="1569" width="10.5" style="111" customWidth="1"/>
    <col min="1570" max="1570" width="12" style="111" customWidth="1"/>
    <col min="1571" max="1571" width="10.5" style="111" customWidth="1"/>
    <col min="1572" max="1572" width="12" style="111" customWidth="1"/>
    <col min="1573" max="1573" width="10.5" style="111" customWidth="1"/>
    <col min="1574" max="1574" width="12" style="111" customWidth="1"/>
    <col min="1575" max="1575" width="10.5" style="111" customWidth="1"/>
    <col min="1576" max="1576" width="12" style="111" customWidth="1"/>
    <col min="1577" max="1577" width="10.5" style="111" customWidth="1"/>
    <col min="1578" max="1578" width="12" style="111" customWidth="1"/>
    <col min="1579" max="1792" width="9" style="111"/>
    <col min="1793" max="1793" width="19.125" style="111" customWidth="1"/>
    <col min="1794" max="1794" width="26.75" style="111" customWidth="1"/>
    <col min="1795" max="1824" width="0" style="111" hidden="1" customWidth="1"/>
    <col min="1825" max="1825" width="10.5" style="111" customWidth="1"/>
    <col min="1826" max="1826" width="12" style="111" customWidth="1"/>
    <col min="1827" max="1827" width="10.5" style="111" customWidth="1"/>
    <col min="1828" max="1828" width="12" style="111" customWidth="1"/>
    <col min="1829" max="1829" width="10.5" style="111" customWidth="1"/>
    <col min="1830" max="1830" width="12" style="111" customWidth="1"/>
    <col min="1831" max="1831" width="10.5" style="111" customWidth="1"/>
    <col min="1832" max="1832" width="12" style="111" customWidth="1"/>
    <col min="1833" max="1833" width="10.5" style="111" customWidth="1"/>
    <col min="1834" max="1834" width="12" style="111" customWidth="1"/>
    <col min="1835" max="2048" width="9" style="111"/>
    <col min="2049" max="2049" width="19.125" style="111" customWidth="1"/>
    <col min="2050" max="2050" width="26.75" style="111" customWidth="1"/>
    <col min="2051" max="2080" width="0" style="111" hidden="1" customWidth="1"/>
    <col min="2081" max="2081" width="10.5" style="111" customWidth="1"/>
    <col min="2082" max="2082" width="12" style="111" customWidth="1"/>
    <col min="2083" max="2083" width="10.5" style="111" customWidth="1"/>
    <col min="2084" max="2084" width="12" style="111" customWidth="1"/>
    <col min="2085" max="2085" width="10.5" style="111" customWidth="1"/>
    <col min="2086" max="2086" width="12" style="111" customWidth="1"/>
    <col min="2087" max="2087" width="10.5" style="111" customWidth="1"/>
    <col min="2088" max="2088" width="12" style="111" customWidth="1"/>
    <col min="2089" max="2089" width="10.5" style="111" customWidth="1"/>
    <col min="2090" max="2090" width="12" style="111" customWidth="1"/>
    <col min="2091" max="2304" width="9" style="111"/>
    <col min="2305" max="2305" width="19.125" style="111" customWidth="1"/>
    <col min="2306" max="2306" width="26.75" style="111" customWidth="1"/>
    <col min="2307" max="2336" width="0" style="111" hidden="1" customWidth="1"/>
    <col min="2337" max="2337" width="10.5" style="111" customWidth="1"/>
    <col min="2338" max="2338" width="12" style="111" customWidth="1"/>
    <col min="2339" max="2339" width="10.5" style="111" customWidth="1"/>
    <col min="2340" max="2340" width="12" style="111" customWidth="1"/>
    <col min="2341" max="2341" width="10.5" style="111" customWidth="1"/>
    <col min="2342" max="2342" width="12" style="111" customWidth="1"/>
    <col min="2343" max="2343" width="10.5" style="111" customWidth="1"/>
    <col min="2344" max="2344" width="12" style="111" customWidth="1"/>
    <col min="2345" max="2345" width="10.5" style="111" customWidth="1"/>
    <col min="2346" max="2346" width="12" style="111" customWidth="1"/>
    <col min="2347" max="2560" width="9" style="111"/>
    <col min="2561" max="2561" width="19.125" style="111" customWidth="1"/>
    <col min="2562" max="2562" width="26.75" style="111" customWidth="1"/>
    <col min="2563" max="2592" width="0" style="111" hidden="1" customWidth="1"/>
    <col min="2593" max="2593" width="10.5" style="111" customWidth="1"/>
    <col min="2594" max="2594" width="12" style="111" customWidth="1"/>
    <col min="2595" max="2595" width="10.5" style="111" customWidth="1"/>
    <col min="2596" max="2596" width="12" style="111" customWidth="1"/>
    <col min="2597" max="2597" width="10.5" style="111" customWidth="1"/>
    <col min="2598" max="2598" width="12" style="111" customWidth="1"/>
    <col min="2599" max="2599" width="10.5" style="111" customWidth="1"/>
    <col min="2600" max="2600" width="12" style="111" customWidth="1"/>
    <col min="2601" max="2601" width="10.5" style="111" customWidth="1"/>
    <col min="2602" max="2602" width="12" style="111" customWidth="1"/>
    <col min="2603" max="2816" width="9" style="111"/>
    <col min="2817" max="2817" width="19.125" style="111" customWidth="1"/>
    <col min="2818" max="2818" width="26.75" style="111" customWidth="1"/>
    <col min="2819" max="2848" width="0" style="111" hidden="1" customWidth="1"/>
    <col min="2849" max="2849" width="10.5" style="111" customWidth="1"/>
    <col min="2850" max="2850" width="12" style="111" customWidth="1"/>
    <col min="2851" max="2851" width="10.5" style="111" customWidth="1"/>
    <col min="2852" max="2852" width="12" style="111" customWidth="1"/>
    <col min="2853" max="2853" width="10.5" style="111" customWidth="1"/>
    <col min="2854" max="2854" width="12" style="111" customWidth="1"/>
    <col min="2855" max="2855" width="10.5" style="111" customWidth="1"/>
    <col min="2856" max="2856" width="12" style="111" customWidth="1"/>
    <col min="2857" max="2857" width="10.5" style="111" customWidth="1"/>
    <col min="2858" max="2858" width="12" style="111" customWidth="1"/>
    <col min="2859" max="3072" width="9" style="111"/>
    <col min="3073" max="3073" width="19.125" style="111" customWidth="1"/>
    <col min="3074" max="3074" width="26.75" style="111" customWidth="1"/>
    <col min="3075" max="3104" width="0" style="111" hidden="1" customWidth="1"/>
    <col min="3105" max="3105" width="10.5" style="111" customWidth="1"/>
    <col min="3106" max="3106" width="12" style="111" customWidth="1"/>
    <col min="3107" max="3107" width="10.5" style="111" customWidth="1"/>
    <col min="3108" max="3108" width="12" style="111" customWidth="1"/>
    <col min="3109" max="3109" width="10.5" style="111" customWidth="1"/>
    <col min="3110" max="3110" width="12" style="111" customWidth="1"/>
    <col min="3111" max="3111" width="10.5" style="111" customWidth="1"/>
    <col min="3112" max="3112" width="12" style="111" customWidth="1"/>
    <col min="3113" max="3113" width="10.5" style="111" customWidth="1"/>
    <col min="3114" max="3114" width="12" style="111" customWidth="1"/>
    <col min="3115" max="3328" width="9" style="111"/>
    <col min="3329" max="3329" width="19.125" style="111" customWidth="1"/>
    <col min="3330" max="3330" width="26.75" style="111" customWidth="1"/>
    <col min="3331" max="3360" width="0" style="111" hidden="1" customWidth="1"/>
    <col min="3361" max="3361" width="10.5" style="111" customWidth="1"/>
    <col min="3362" max="3362" width="12" style="111" customWidth="1"/>
    <col min="3363" max="3363" width="10.5" style="111" customWidth="1"/>
    <col min="3364" max="3364" width="12" style="111" customWidth="1"/>
    <col min="3365" max="3365" width="10.5" style="111" customWidth="1"/>
    <col min="3366" max="3366" width="12" style="111" customWidth="1"/>
    <col min="3367" max="3367" width="10.5" style="111" customWidth="1"/>
    <col min="3368" max="3368" width="12" style="111" customWidth="1"/>
    <col min="3369" max="3369" width="10.5" style="111" customWidth="1"/>
    <col min="3370" max="3370" width="12" style="111" customWidth="1"/>
    <col min="3371" max="3584" width="9" style="111"/>
    <col min="3585" max="3585" width="19.125" style="111" customWidth="1"/>
    <col min="3586" max="3586" width="26.75" style="111" customWidth="1"/>
    <col min="3587" max="3616" width="0" style="111" hidden="1" customWidth="1"/>
    <col min="3617" max="3617" width="10.5" style="111" customWidth="1"/>
    <col min="3618" max="3618" width="12" style="111" customWidth="1"/>
    <col min="3619" max="3619" width="10.5" style="111" customWidth="1"/>
    <col min="3620" max="3620" width="12" style="111" customWidth="1"/>
    <col min="3621" max="3621" width="10.5" style="111" customWidth="1"/>
    <col min="3622" max="3622" width="12" style="111" customWidth="1"/>
    <col min="3623" max="3623" width="10.5" style="111" customWidth="1"/>
    <col min="3624" max="3624" width="12" style="111" customWidth="1"/>
    <col min="3625" max="3625" width="10.5" style="111" customWidth="1"/>
    <col min="3626" max="3626" width="12" style="111" customWidth="1"/>
    <col min="3627" max="3840" width="9" style="111"/>
    <col min="3841" max="3841" width="19.125" style="111" customWidth="1"/>
    <col min="3842" max="3842" width="26.75" style="111" customWidth="1"/>
    <col min="3843" max="3872" width="0" style="111" hidden="1" customWidth="1"/>
    <col min="3873" max="3873" width="10.5" style="111" customWidth="1"/>
    <col min="3874" max="3874" width="12" style="111" customWidth="1"/>
    <col min="3875" max="3875" width="10.5" style="111" customWidth="1"/>
    <col min="3876" max="3876" width="12" style="111" customWidth="1"/>
    <col min="3877" max="3877" width="10.5" style="111" customWidth="1"/>
    <col min="3878" max="3878" width="12" style="111" customWidth="1"/>
    <col min="3879" max="3879" width="10.5" style="111" customWidth="1"/>
    <col min="3880" max="3880" width="12" style="111" customWidth="1"/>
    <col min="3881" max="3881" width="10.5" style="111" customWidth="1"/>
    <col min="3882" max="3882" width="12" style="111" customWidth="1"/>
    <col min="3883" max="4096" width="9" style="111"/>
    <col min="4097" max="4097" width="19.125" style="111" customWidth="1"/>
    <col min="4098" max="4098" width="26.75" style="111" customWidth="1"/>
    <col min="4099" max="4128" width="0" style="111" hidden="1" customWidth="1"/>
    <col min="4129" max="4129" width="10.5" style="111" customWidth="1"/>
    <col min="4130" max="4130" width="12" style="111" customWidth="1"/>
    <col min="4131" max="4131" width="10.5" style="111" customWidth="1"/>
    <col min="4132" max="4132" width="12" style="111" customWidth="1"/>
    <col min="4133" max="4133" width="10.5" style="111" customWidth="1"/>
    <col min="4134" max="4134" width="12" style="111" customWidth="1"/>
    <col min="4135" max="4135" width="10.5" style="111" customWidth="1"/>
    <col min="4136" max="4136" width="12" style="111" customWidth="1"/>
    <col min="4137" max="4137" width="10.5" style="111" customWidth="1"/>
    <col min="4138" max="4138" width="12" style="111" customWidth="1"/>
    <col min="4139" max="4352" width="9" style="111"/>
    <col min="4353" max="4353" width="19.125" style="111" customWidth="1"/>
    <col min="4354" max="4354" width="26.75" style="111" customWidth="1"/>
    <col min="4355" max="4384" width="0" style="111" hidden="1" customWidth="1"/>
    <col min="4385" max="4385" width="10.5" style="111" customWidth="1"/>
    <col min="4386" max="4386" width="12" style="111" customWidth="1"/>
    <col min="4387" max="4387" width="10.5" style="111" customWidth="1"/>
    <col min="4388" max="4388" width="12" style="111" customWidth="1"/>
    <col min="4389" max="4389" width="10.5" style="111" customWidth="1"/>
    <col min="4390" max="4390" width="12" style="111" customWidth="1"/>
    <col min="4391" max="4391" width="10.5" style="111" customWidth="1"/>
    <col min="4392" max="4392" width="12" style="111" customWidth="1"/>
    <col min="4393" max="4393" width="10.5" style="111" customWidth="1"/>
    <col min="4394" max="4394" width="12" style="111" customWidth="1"/>
    <col min="4395" max="4608" width="9" style="111"/>
    <col min="4609" max="4609" width="19.125" style="111" customWidth="1"/>
    <col min="4610" max="4610" width="26.75" style="111" customWidth="1"/>
    <col min="4611" max="4640" width="0" style="111" hidden="1" customWidth="1"/>
    <col min="4641" max="4641" width="10.5" style="111" customWidth="1"/>
    <col min="4642" max="4642" width="12" style="111" customWidth="1"/>
    <col min="4643" max="4643" width="10.5" style="111" customWidth="1"/>
    <col min="4644" max="4644" width="12" style="111" customWidth="1"/>
    <col min="4645" max="4645" width="10.5" style="111" customWidth="1"/>
    <col min="4646" max="4646" width="12" style="111" customWidth="1"/>
    <col min="4647" max="4647" width="10.5" style="111" customWidth="1"/>
    <col min="4648" max="4648" width="12" style="111" customWidth="1"/>
    <col min="4649" max="4649" width="10.5" style="111" customWidth="1"/>
    <col min="4650" max="4650" width="12" style="111" customWidth="1"/>
    <col min="4651" max="4864" width="9" style="111"/>
    <col min="4865" max="4865" width="19.125" style="111" customWidth="1"/>
    <col min="4866" max="4866" width="26.75" style="111" customWidth="1"/>
    <col min="4867" max="4896" width="0" style="111" hidden="1" customWidth="1"/>
    <col min="4897" max="4897" width="10.5" style="111" customWidth="1"/>
    <col min="4898" max="4898" width="12" style="111" customWidth="1"/>
    <col min="4899" max="4899" width="10.5" style="111" customWidth="1"/>
    <col min="4900" max="4900" width="12" style="111" customWidth="1"/>
    <col min="4901" max="4901" width="10.5" style="111" customWidth="1"/>
    <col min="4902" max="4902" width="12" style="111" customWidth="1"/>
    <col min="4903" max="4903" width="10.5" style="111" customWidth="1"/>
    <col min="4904" max="4904" width="12" style="111" customWidth="1"/>
    <col min="4905" max="4905" width="10.5" style="111" customWidth="1"/>
    <col min="4906" max="4906" width="12" style="111" customWidth="1"/>
    <col min="4907" max="5120" width="9" style="111"/>
    <col min="5121" max="5121" width="19.125" style="111" customWidth="1"/>
    <col min="5122" max="5122" width="26.75" style="111" customWidth="1"/>
    <col min="5123" max="5152" width="0" style="111" hidden="1" customWidth="1"/>
    <col min="5153" max="5153" width="10.5" style="111" customWidth="1"/>
    <col min="5154" max="5154" width="12" style="111" customWidth="1"/>
    <col min="5155" max="5155" width="10.5" style="111" customWidth="1"/>
    <col min="5156" max="5156" width="12" style="111" customWidth="1"/>
    <col min="5157" max="5157" width="10.5" style="111" customWidth="1"/>
    <col min="5158" max="5158" width="12" style="111" customWidth="1"/>
    <col min="5159" max="5159" width="10.5" style="111" customWidth="1"/>
    <col min="5160" max="5160" width="12" style="111" customWidth="1"/>
    <col min="5161" max="5161" width="10.5" style="111" customWidth="1"/>
    <col min="5162" max="5162" width="12" style="111" customWidth="1"/>
    <col min="5163" max="5376" width="9" style="111"/>
    <col min="5377" max="5377" width="19.125" style="111" customWidth="1"/>
    <col min="5378" max="5378" width="26.75" style="111" customWidth="1"/>
    <col min="5379" max="5408" width="0" style="111" hidden="1" customWidth="1"/>
    <col min="5409" max="5409" width="10.5" style="111" customWidth="1"/>
    <col min="5410" max="5410" width="12" style="111" customWidth="1"/>
    <col min="5411" max="5411" width="10.5" style="111" customWidth="1"/>
    <col min="5412" max="5412" width="12" style="111" customWidth="1"/>
    <col min="5413" max="5413" width="10.5" style="111" customWidth="1"/>
    <col min="5414" max="5414" width="12" style="111" customWidth="1"/>
    <col min="5415" max="5415" width="10.5" style="111" customWidth="1"/>
    <col min="5416" max="5416" width="12" style="111" customWidth="1"/>
    <col min="5417" max="5417" width="10.5" style="111" customWidth="1"/>
    <col min="5418" max="5418" width="12" style="111" customWidth="1"/>
    <col min="5419" max="5632" width="9" style="111"/>
    <col min="5633" max="5633" width="19.125" style="111" customWidth="1"/>
    <col min="5634" max="5634" width="26.75" style="111" customWidth="1"/>
    <col min="5635" max="5664" width="0" style="111" hidden="1" customWidth="1"/>
    <col min="5665" max="5665" width="10.5" style="111" customWidth="1"/>
    <col min="5666" max="5666" width="12" style="111" customWidth="1"/>
    <col min="5667" max="5667" width="10.5" style="111" customWidth="1"/>
    <col min="5668" max="5668" width="12" style="111" customWidth="1"/>
    <col min="5669" max="5669" width="10.5" style="111" customWidth="1"/>
    <col min="5670" max="5670" width="12" style="111" customWidth="1"/>
    <col min="5671" max="5671" width="10.5" style="111" customWidth="1"/>
    <col min="5672" max="5672" width="12" style="111" customWidth="1"/>
    <col min="5673" max="5673" width="10.5" style="111" customWidth="1"/>
    <col min="5674" max="5674" width="12" style="111" customWidth="1"/>
    <col min="5675" max="5888" width="9" style="111"/>
    <col min="5889" max="5889" width="19.125" style="111" customWidth="1"/>
    <col min="5890" max="5890" width="26.75" style="111" customWidth="1"/>
    <col min="5891" max="5920" width="0" style="111" hidden="1" customWidth="1"/>
    <col min="5921" max="5921" width="10.5" style="111" customWidth="1"/>
    <col min="5922" max="5922" width="12" style="111" customWidth="1"/>
    <col min="5923" max="5923" width="10.5" style="111" customWidth="1"/>
    <col min="5924" max="5924" width="12" style="111" customWidth="1"/>
    <col min="5925" max="5925" width="10.5" style="111" customWidth="1"/>
    <col min="5926" max="5926" width="12" style="111" customWidth="1"/>
    <col min="5927" max="5927" width="10.5" style="111" customWidth="1"/>
    <col min="5928" max="5928" width="12" style="111" customWidth="1"/>
    <col min="5929" max="5929" width="10.5" style="111" customWidth="1"/>
    <col min="5930" max="5930" width="12" style="111" customWidth="1"/>
    <col min="5931" max="6144" width="9" style="111"/>
    <col min="6145" max="6145" width="19.125" style="111" customWidth="1"/>
    <col min="6146" max="6146" width="26.75" style="111" customWidth="1"/>
    <col min="6147" max="6176" width="0" style="111" hidden="1" customWidth="1"/>
    <col min="6177" max="6177" width="10.5" style="111" customWidth="1"/>
    <col min="6178" max="6178" width="12" style="111" customWidth="1"/>
    <col min="6179" max="6179" width="10.5" style="111" customWidth="1"/>
    <col min="6180" max="6180" width="12" style="111" customWidth="1"/>
    <col min="6181" max="6181" width="10.5" style="111" customWidth="1"/>
    <col min="6182" max="6182" width="12" style="111" customWidth="1"/>
    <col min="6183" max="6183" width="10.5" style="111" customWidth="1"/>
    <col min="6184" max="6184" width="12" style="111" customWidth="1"/>
    <col min="6185" max="6185" width="10.5" style="111" customWidth="1"/>
    <col min="6186" max="6186" width="12" style="111" customWidth="1"/>
    <col min="6187" max="6400" width="9" style="111"/>
    <col min="6401" max="6401" width="19.125" style="111" customWidth="1"/>
    <col min="6402" max="6402" width="26.75" style="111" customWidth="1"/>
    <col min="6403" max="6432" width="0" style="111" hidden="1" customWidth="1"/>
    <col min="6433" max="6433" width="10.5" style="111" customWidth="1"/>
    <col min="6434" max="6434" width="12" style="111" customWidth="1"/>
    <col min="6435" max="6435" width="10.5" style="111" customWidth="1"/>
    <col min="6436" max="6436" width="12" style="111" customWidth="1"/>
    <col min="6437" max="6437" width="10.5" style="111" customWidth="1"/>
    <col min="6438" max="6438" width="12" style="111" customWidth="1"/>
    <col min="6439" max="6439" width="10.5" style="111" customWidth="1"/>
    <col min="6440" max="6440" width="12" style="111" customWidth="1"/>
    <col min="6441" max="6441" width="10.5" style="111" customWidth="1"/>
    <col min="6442" max="6442" width="12" style="111" customWidth="1"/>
    <col min="6443" max="6656" width="9" style="111"/>
    <col min="6657" max="6657" width="19.125" style="111" customWidth="1"/>
    <col min="6658" max="6658" width="26.75" style="111" customWidth="1"/>
    <col min="6659" max="6688" width="0" style="111" hidden="1" customWidth="1"/>
    <col min="6689" max="6689" width="10.5" style="111" customWidth="1"/>
    <col min="6690" max="6690" width="12" style="111" customWidth="1"/>
    <col min="6691" max="6691" width="10.5" style="111" customWidth="1"/>
    <col min="6692" max="6692" width="12" style="111" customWidth="1"/>
    <col min="6693" max="6693" width="10.5" style="111" customWidth="1"/>
    <col min="6694" max="6694" width="12" style="111" customWidth="1"/>
    <col min="6695" max="6695" width="10.5" style="111" customWidth="1"/>
    <col min="6696" max="6696" width="12" style="111" customWidth="1"/>
    <col min="6697" max="6697" width="10.5" style="111" customWidth="1"/>
    <col min="6698" max="6698" width="12" style="111" customWidth="1"/>
    <col min="6699" max="6912" width="9" style="111"/>
    <col min="6913" max="6913" width="19.125" style="111" customWidth="1"/>
    <col min="6914" max="6914" width="26.75" style="111" customWidth="1"/>
    <col min="6915" max="6944" width="0" style="111" hidden="1" customWidth="1"/>
    <col min="6945" max="6945" width="10.5" style="111" customWidth="1"/>
    <col min="6946" max="6946" width="12" style="111" customWidth="1"/>
    <col min="6947" max="6947" width="10.5" style="111" customWidth="1"/>
    <col min="6948" max="6948" width="12" style="111" customWidth="1"/>
    <col min="6949" max="6949" width="10.5" style="111" customWidth="1"/>
    <col min="6950" max="6950" width="12" style="111" customWidth="1"/>
    <col min="6951" max="6951" width="10.5" style="111" customWidth="1"/>
    <col min="6952" max="6952" width="12" style="111" customWidth="1"/>
    <col min="6953" max="6953" width="10.5" style="111" customWidth="1"/>
    <col min="6954" max="6954" width="12" style="111" customWidth="1"/>
    <col min="6955" max="7168" width="9" style="111"/>
    <col min="7169" max="7169" width="19.125" style="111" customWidth="1"/>
    <col min="7170" max="7170" width="26.75" style="111" customWidth="1"/>
    <col min="7171" max="7200" width="0" style="111" hidden="1" customWidth="1"/>
    <col min="7201" max="7201" width="10.5" style="111" customWidth="1"/>
    <col min="7202" max="7202" width="12" style="111" customWidth="1"/>
    <col min="7203" max="7203" width="10.5" style="111" customWidth="1"/>
    <col min="7204" max="7204" width="12" style="111" customWidth="1"/>
    <col min="7205" max="7205" width="10.5" style="111" customWidth="1"/>
    <col min="7206" max="7206" width="12" style="111" customWidth="1"/>
    <col min="7207" max="7207" width="10.5" style="111" customWidth="1"/>
    <col min="7208" max="7208" width="12" style="111" customWidth="1"/>
    <col min="7209" max="7209" width="10.5" style="111" customWidth="1"/>
    <col min="7210" max="7210" width="12" style="111" customWidth="1"/>
    <col min="7211" max="7424" width="9" style="111"/>
    <col min="7425" max="7425" width="19.125" style="111" customWidth="1"/>
    <col min="7426" max="7426" width="26.75" style="111" customWidth="1"/>
    <col min="7427" max="7456" width="0" style="111" hidden="1" customWidth="1"/>
    <col min="7457" max="7457" width="10.5" style="111" customWidth="1"/>
    <col min="7458" max="7458" width="12" style="111" customWidth="1"/>
    <col min="7459" max="7459" width="10.5" style="111" customWidth="1"/>
    <col min="7460" max="7460" width="12" style="111" customWidth="1"/>
    <col min="7461" max="7461" width="10.5" style="111" customWidth="1"/>
    <col min="7462" max="7462" width="12" style="111" customWidth="1"/>
    <col min="7463" max="7463" width="10.5" style="111" customWidth="1"/>
    <col min="7464" max="7464" width="12" style="111" customWidth="1"/>
    <col min="7465" max="7465" width="10.5" style="111" customWidth="1"/>
    <col min="7466" max="7466" width="12" style="111" customWidth="1"/>
    <col min="7467" max="7680" width="9" style="111"/>
    <col min="7681" max="7681" width="19.125" style="111" customWidth="1"/>
    <col min="7682" max="7682" width="26.75" style="111" customWidth="1"/>
    <col min="7683" max="7712" width="0" style="111" hidden="1" customWidth="1"/>
    <col min="7713" max="7713" width="10.5" style="111" customWidth="1"/>
    <col min="7714" max="7714" width="12" style="111" customWidth="1"/>
    <col min="7715" max="7715" width="10.5" style="111" customWidth="1"/>
    <col min="7716" max="7716" width="12" style="111" customWidth="1"/>
    <col min="7717" max="7717" width="10.5" style="111" customWidth="1"/>
    <col min="7718" max="7718" width="12" style="111" customWidth="1"/>
    <col min="7719" max="7719" width="10.5" style="111" customWidth="1"/>
    <col min="7720" max="7720" width="12" style="111" customWidth="1"/>
    <col min="7721" max="7721" width="10.5" style="111" customWidth="1"/>
    <col min="7722" max="7722" width="12" style="111" customWidth="1"/>
    <col min="7723" max="7936" width="9" style="111"/>
    <col min="7937" max="7937" width="19.125" style="111" customWidth="1"/>
    <col min="7938" max="7938" width="26.75" style="111" customWidth="1"/>
    <col min="7939" max="7968" width="0" style="111" hidden="1" customWidth="1"/>
    <col min="7969" max="7969" width="10.5" style="111" customWidth="1"/>
    <col min="7970" max="7970" width="12" style="111" customWidth="1"/>
    <col min="7971" max="7971" width="10.5" style="111" customWidth="1"/>
    <col min="7972" max="7972" width="12" style="111" customWidth="1"/>
    <col min="7973" max="7973" width="10.5" style="111" customWidth="1"/>
    <col min="7974" max="7974" width="12" style="111" customWidth="1"/>
    <col min="7975" max="7975" width="10.5" style="111" customWidth="1"/>
    <col min="7976" max="7976" width="12" style="111" customWidth="1"/>
    <col min="7977" max="7977" width="10.5" style="111" customWidth="1"/>
    <col min="7978" max="7978" width="12" style="111" customWidth="1"/>
    <col min="7979" max="8192" width="9" style="111"/>
    <col min="8193" max="8193" width="19.125" style="111" customWidth="1"/>
    <col min="8194" max="8194" width="26.75" style="111" customWidth="1"/>
    <col min="8195" max="8224" width="0" style="111" hidden="1" customWidth="1"/>
    <col min="8225" max="8225" width="10.5" style="111" customWidth="1"/>
    <col min="8226" max="8226" width="12" style="111" customWidth="1"/>
    <col min="8227" max="8227" width="10.5" style="111" customWidth="1"/>
    <col min="8228" max="8228" width="12" style="111" customWidth="1"/>
    <col min="8229" max="8229" width="10.5" style="111" customWidth="1"/>
    <col min="8230" max="8230" width="12" style="111" customWidth="1"/>
    <col min="8231" max="8231" width="10.5" style="111" customWidth="1"/>
    <col min="8232" max="8232" width="12" style="111" customWidth="1"/>
    <col min="8233" max="8233" width="10.5" style="111" customWidth="1"/>
    <col min="8234" max="8234" width="12" style="111" customWidth="1"/>
    <col min="8235" max="8448" width="9" style="111"/>
    <col min="8449" max="8449" width="19.125" style="111" customWidth="1"/>
    <col min="8450" max="8450" width="26.75" style="111" customWidth="1"/>
    <col min="8451" max="8480" width="0" style="111" hidden="1" customWidth="1"/>
    <col min="8481" max="8481" width="10.5" style="111" customWidth="1"/>
    <col min="8482" max="8482" width="12" style="111" customWidth="1"/>
    <col min="8483" max="8483" width="10.5" style="111" customWidth="1"/>
    <col min="8484" max="8484" width="12" style="111" customWidth="1"/>
    <col min="8485" max="8485" width="10.5" style="111" customWidth="1"/>
    <col min="8486" max="8486" width="12" style="111" customWidth="1"/>
    <col min="8487" max="8487" width="10.5" style="111" customWidth="1"/>
    <col min="8488" max="8488" width="12" style="111" customWidth="1"/>
    <col min="8489" max="8489" width="10.5" style="111" customWidth="1"/>
    <col min="8490" max="8490" width="12" style="111" customWidth="1"/>
    <col min="8491" max="8704" width="9" style="111"/>
    <col min="8705" max="8705" width="19.125" style="111" customWidth="1"/>
    <col min="8706" max="8706" width="26.75" style="111" customWidth="1"/>
    <col min="8707" max="8736" width="0" style="111" hidden="1" customWidth="1"/>
    <col min="8737" max="8737" width="10.5" style="111" customWidth="1"/>
    <col min="8738" max="8738" width="12" style="111" customWidth="1"/>
    <col min="8739" max="8739" width="10.5" style="111" customWidth="1"/>
    <col min="8740" max="8740" width="12" style="111" customWidth="1"/>
    <col min="8741" max="8741" width="10.5" style="111" customWidth="1"/>
    <col min="8742" max="8742" width="12" style="111" customWidth="1"/>
    <col min="8743" max="8743" width="10.5" style="111" customWidth="1"/>
    <col min="8744" max="8744" width="12" style="111" customWidth="1"/>
    <col min="8745" max="8745" width="10.5" style="111" customWidth="1"/>
    <col min="8746" max="8746" width="12" style="111" customWidth="1"/>
    <col min="8747" max="8960" width="9" style="111"/>
    <col min="8961" max="8961" width="19.125" style="111" customWidth="1"/>
    <col min="8962" max="8962" width="26.75" style="111" customWidth="1"/>
    <col min="8963" max="8992" width="0" style="111" hidden="1" customWidth="1"/>
    <col min="8993" max="8993" width="10.5" style="111" customWidth="1"/>
    <col min="8994" max="8994" width="12" style="111" customWidth="1"/>
    <col min="8995" max="8995" width="10.5" style="111" customWidth="1"/>
    <col min="8996" max="8996" width="12" style="111" customWidth="1"/>
    <col min="8997" max="8997" width="10.5" style="111" customWidth="1"/>
    <col min="8998" max="8998" width="12" style="111" customWidth="1"/>
    <col min="8999" max="8999" width="10.5" style="111" customWidth="1"/>
    <col min="9000" max="9000" width="12" style="111" customWidth="1"/>
    <col min="9001" max="9001" width="10.5" style="111" customWidth="1"/>
    <col min="9002" max="9002" width="12" style="111" customWidth="1"/>
    <col min="9003" max="9216" width="9" style="111"/>
    <col min="9217" max="9217" width="19.125" style="111" customWidth="1"/>
    <col min="9218" max="9218" width="26.75" style="111" customWidth="1"/>
    <col min="9219" max="9248" width="0" style="111" hidden="1" customWidth="1"/>
    <col min="9249" max="9249" width="10.5" style="111" customWidth="1"/>
    <col min="9250" max="9250" width="12" style="111" customWidth="1"/>
    <col min="9251" max="9251" width="10.5" style="111" customWidth="1"/>
    <col min="9252" max="9252" width="12" style="111" customWidth="1"/>
    <col min="9253" max="9253" width="10.5" style="111" customWidth="1"/>
    <col min="9254" max="9254" width="12" style="111" customWidth="1"/>
    <col min="9255" max="9255" width="10.5" style="111" customWidth="1"/>
    <col min="9256" max="9256" width="12" style="111" customWidth="1"/>
    <col min="9257" max="9257" width="10.5" style="111" customWidth="1"/>
    <col min="9258" max="9258" width="12" style="111" customWidth="1"/>
    <col min="9259" max="9472" width="9" style="111"/>
    <col min="9473" max="9473" width="19.125" style="111" customWidth="1"/>
    <col min="9474" max="9474" width="26.75" style="111" customWidth="1"/>
    <col min="9475" max="9504" width="0" style="111" hidden="1" customWidth="1"/>
    <col min="9505" max="9505" width="10.5" style="111" customWidth="1"/>
    <col min="9506" max="9506" width="12" style="111" customWidth="1"/>
    <col min="9507" max="9507" width="10.5" style="111" customWidth="1"/>
    <col min="9508" max="9508" width="12" style="111" customWidth="1"/>
    <col min="9509" max="9509" width="10.5" style="111" customWidth="1"/>
    <col min="9510" max="9510" width="12" style="111" customWidth="1"/>
    <col min="9511" max="9511" width="10.5" style="111" customWidth="1"/>
    <col min="9512" max="9512" width="12" style="111" customWidth="1"/>
    <col min="9513" max="9513" width="10.5" style="111" customWidth="1"/>
    <col min="9514" max="9514" width="12" style="111" customWidth="1"/>
    <col min="9515" max="9728" width="9" style="111"/>
    <col min="9729" max="9729" width="19.125" style="111" customWidth="1"/>
    <col min="9730" max="9730" width="26.75" style="111" customWidth="1"/>
    <col min="9731" max="9760" width="0" style="111" hidden="1" customWidth="1"/>
    <col min="9761" max="9761" width="10.5" style="111" customWidth="1"/>
    <col min="9762" max="9762" width="12" style="111" customWidth="1"/>
    <col min="9763" max="9763" width="10.5" style="111" customWidth="1"/>
    <col min="9764" max="9764" width="12" style="111" customWidth="1"/>
    <col min="9765" max="9765" width="10.5" style="111" customWidth="1"/>
    <col min="9766" max="9766" width="12" style="111" customWidth="1"/>
    <col min="9767" max="9767" width="10.5" style="111" customWidth="1"/>
    <col min="9768" max="9768" width="12" style="111" customWidth="1"/>
    <col min="9769" max="9769" width="10.5" style="111" customWidth="1"/>
    <col min="9770" max="9770" width="12" style="111" customWidth="1"/>
    <col min="9771" max="9984" width="9" style="111"/>
    <col min="9985" max="9985" width="19.125" style="111" customWidth="1"/>
    <col min="9986" max="9986" width="26.75" style="111" customWidth="1"/>
    <col min="9987" max="10016" width="0" style="111" hidden="1" customWidth="1"/>
    <col min="10017" max="10017" width="10.5" style="111" customWidth="1"/>
    <col min="10018" max="10018" width="12" style="111" customWidth="1"/>
    <col min="10019" max="10019" width="10.5" style="111" customWidth="1"/>
    <col min="10020" max="10020" width="12" style="111" customWidth="1"/>
    <col min="10021" max="10021" width="10.5" style="111" customWidth="1"/>
    <col min="10022" max="10022" width="12" style="111" customWidth="1"/>
    <col min="10023" max="10023" width="10.5" style="111" customWidth="1"/>
    <col min="10024" max="10024" width="12" style="111" customWidth="1"/>
    <col min="10025" max="10025" width="10.5" style="111" customWidth="1"/>
    <col min="10026" max="10026" width="12" style="111" customWidth="1"/>
    <col min="10027" max="10240" width="9" style="111"/>
    <col min="10241" max="10241" width="19.125" style="111" customWidth="1"/>
    <col min="10242" max="10242" width="26.75" style="111" customWidth="1"/>
    <col min="10243" max="10272" width="0" style="111" hidden="1" customWidth="1"/>
    <col min="10273" max="10273" width="10.5" style="111" customWidth="1"/>
    <col min="10274" max="10274" width="12" style="111" customWidth="1"/>
    <col min="10275" max="10275" width="10.5" style="111" customWidth="1"/>
    <col min="10276" max="10276" width="12" style="111" customWidth="1"/>
    <col min="10277" max="10277" width="10.5" style="111" customWidth="1"/>
    <col min="10278" max="10278" width="12" style="111" customWidth="1"/>
    <col min="10279" max="10279" width="10.5" style="111" customWidth="1"/>
    <col min="10280" max="10280" width="12" style="111" customWidth="1"/>
    <col min="10281" max="10281" width="10.5" style="111" customWidth="1"/>
    <col min="10282" max="10282" width="12" style="111" customWidth="1"/>
    <col min="10283" max="10496" width="9" style="111"/>
    <col min="10497" max="10497" width="19.125" style="111" customWidth="1"/>
    <col min="10498" max="10498" width="26.75" style="111" customWidth="1"/>
    <col min="10499" max="10528" width="0" style="111" hidden="1" customWidth="1"/>
    <col min="10529" max="10529" width="10.5" style="111" customWidth="1"/>
    <col min="10530" max="10530" width="12" style="111" customWidth="1"/>
    <col min="10531" max="10531" width="10.5" style="111" customWidth="1"/>
    <col min="10532" max="10532" width="12" style="111" customWidth="1"/>
    <col min="10533" max="10533" width="10.5" style="111" customWidth="1"/>
    <col min="10534" max="10534" width="12" style="111" customWidth="1"/>
    <col min="10535" max="10535" width="10.5" style="111" customWidth="1"/>
    <col min="10536" max="10536" width="12" style="111" customWidth="1"/>
    <col min="10537" max="10537" width="10.5" style="111" customWidth="1"/>
    <col min="10538" max="10538" width="12" style="111" customWidth="1"/>
    <col min="10539" max="10752" width="9" style="111"/>
    <col min="10753" max="10753" width="19.125" style="111" customWidth="1"/>
    <col min="10754" max="10754" width="26.75" style="111" customWidth="1"/>
    <col min="10755" max="10784" width="0" style="111" hidden="1" customWidth="1"/>
    <col min="10785" max="10785" width="10.5" style="111" customWidth="1"/>
    <col min="10786" max="10786" width="12" style="111" customWidth="1"/>
    <col min="10787" max="10787" width="10.5" style="111" customWidth="1"/>
    <col min="10788" max="10788" width="12" style="111" customWidth="1"/>
    <col min="10789" max="10789" width="10.5" style="111" customWidth="1"/>
    <col min="10790" max="10790" width="12" style="111" customWidth="1"/>
    <col min="10791" max="10791" width="10.5" style="111" customWidth="1"/>
    <col min="10792" max="10792" width="12" style="111" customWidth="1"/>
    <col min="10793" max="10793" width="10.5" style="111" customWidth="1"/>
    <col min="10794" max="10794" width="12" style="111" customWidth="1"/>
    <col min="10795" max="11008" width="9" style="111"/>
    <col min="11009" max="11009" width="19.125" style="111" customWidth="1"/>
    <col min="11010" max="11010" width="26.75" style="111" customWidth="1"/>
    <col min="11011" max="11040" width="0" style="111" hidden="1" customWidth="1"/>
    <col min="11041" max="11041" width="10.5" style="111" customWidth="1"/>
    <col min="11042" max="11042" width="12" style="111" customWidth="1"/>
    <col min="11043" max="11043" width="10.5" style="111" customWidth="1"/>
    <col min="11044" max="11044" width="12" style="111" customWidth="1"/>
    <col min="11045" max="11045" width="10.5" style="111" customWidth="1"/>
    <col min="11046" max="11046" width="12" style="111" customWidth="1"/>
    <col min="11047" max="11047" width="10.5" style="111" customWidth="1"/>
    <col min="11048" max="11048" width="12" style="111" customWidth="1"/>
    <col min="11049" max="11049" width="10.5" style="111" customWidth="1"/>
    <col min="11050" max="11050" width="12" style="111" customWidth="1"/>
    <col min="11051" max="11264" width="9" style="111"/>
    <col min="11265" max="11265" width="19.125" style="111" customWidth="1"/>
    <col min="11266" max="11266" width="26.75" style="111" customWidth="1"/>
    <col min="11267" max="11296" width="0" style="111" hidden="1" customWidth="1"/>
    <col min="11297" max="11297" width="10.5" style="111" customWidth="1"/>
    <col min="11298" max="11298" width="12" style="111" customWidth="1"/>
    <col min="11299" max="11299" width="10.5" style="111" customWidth="1"/>
    <col min="11300" max="11300" width="12" style="111" customWidth="1"/>
    <col min="11301" max="11301" width="10.5" style="111" customWidth="1"/>
    <col min="11302" max="11302" width="12" style="111" customWidth="1"/>
    <col min="11303" max="11303" width="10.5" style="111" customWidth="1"/>
    <col min="11304" max="11304" width="12" style="111" customWidth="1"/>
    <col min="11305" max="11305" width="10.5" style="111" customWidth="1"/>
    <col min="11306" max="11306" width="12" style="111" customWidth="1"/>
    <col min="11307" max="11520" width="9" style="111"/>
    <col min="11521" max="11521" width="19.125" style="111" customWidth="1"/>
    <col min="11522" max="11522" width="26.75" style="111" customWidth="1"/>
    <col min="11523" max="11552" width="0" style="111" hidden="1" customWidth="1"/>
    <col min="11553" max="11553" width="10.5" style="111" customWidth="1"/>
    <col min="11554" max="11554" width="12" style="111" customWidth="1"/>
    <col min="11555" max="11555" width="10.5" style="111" customWidth="1"/>
    <col min="11556" max="11556" width="12" style="111" customWidth="1"/>
    <col min="11557" max="11557" width="10.5" style="111" customWidth="1"/>
    <col min="11558" max="11558" width="12" style="111" customWidth="1"/>
    <col min="11559" max="11559" width="10.5" style="111" customWidth="1"/>
    <col min="11560" max="11560" width="12" style="111" customWidth="1"/>
    <col min="11561" max="11561" width="10.5" style="111" customWidth="1"/>
    <col min="11562" max="11562" width="12" style="111" customWidth="1"/>
    <col min="11563" max="11776" width="9" style="111"/>
    <col min="11777" max="11777" width="19.125" style="111" customWidth="1"/>
    <col min="11778" max="11778" width="26.75" style="111" customWidth="1"/>
    <col min="11779" max="11808" width="0" style="111" hidden="1" customWidth="1"/>
    <col min="11809" max="11809" width="10.5" style="111" customWidth="1"/>
    <col min="11810" max="11810" width="12" style="111" customWidth="1"/>
    <col min="11811" max="11811" width="10.5" style="111" customWidth="1"/>
    <col min="11812" max="11812" width="12" style="111" customWidth="1"/>
    <col min="11813" max="11813" width="10.5" style="111" customWidth="1"/>
    <col min="11814" max="11814" width="12" style="111" customWidth="1"/>
    <col min="11815" max="11815" width="10.5" style="111" customWidth="1"/>
    <col min="11816" max="11816" width="12" style="111" customWidth="1"/>
    <col min="11817" max="11817" width="10.5" style="111" customWidth="1"/>
    <col min="11818" max="11818" width="12" style="111" customWidth="1"/>
    <col min="11819" max="12032" width="9" style="111"/>
    <col min="12033" max="12033" width="19.125" style="111" customWidth="1"/>
    <col min="12034" max="12034" width="26.75" style="111" customWidth="1"/>
    <col min="12035" max="12064" width="0" style="111" hidden="1" customWidth="1"/>
    <col min="12065" max="12065" width="10.5" style="111" customWidth="1"/>
    <col min="12066" max="12066" width="12" style="111" customWidth="1"/>
    <col min="12067" max="12067" width="10.5" style="111" customWidth="1"/>
    <col min="12068" max="12068" width="12" style="111" customWidth="1"/>
    <col min="12069" max="12069" width="10.5" style="111" customWidth="1"/>
    <col min="12070" max="12070" width="12" style="111" customWidth="1"/>
    <col min="12071" max="12071" width="10.5" style="111" customWidth="1"/>
    <col min="12072" max="12072" width="12" style="111" customWidth="1"/>
    <col min="12073" max="12073" width="10.5" style="111" customWidth="1"/>
    <col min="12074" max="12074" width="12" style="111" customWidth="1"/>
    <col min="12075" max="12288" width="9" style="111"/>
    <col min="12289" max="12289" width="19.125" style="111" customWidth="1"/>
    <col min="12290" max="12290" width="26.75" style="111" customWidth="1"/>
    <col min="12291" max="12320" width="0" style="111" hidden="1" customWidth="1"/>
    <col min="12321" max="12321" width="10.5" style="111" customWidth="1"/>
    <col min="12322" max="12322" width="12" style="111" customWidth="1"/>
    <col min="12323" max="12323" width="10.5" style="111" customWidth="1"/>
    <col min="12324" max="12324" width="12" style="111" customWidth="1"/>
    <col min="12325" max="12325" width="10.5" style="111" customWidth="1"/>
    <col min="12326" max="12326" width="12" style="111" customWidth="1"/>
    <col min="12327" max="12327" width="10.5" style="111" customWidth="1"/>
    <col min="12328" max="12328" width="12" style="111" customWidth="1"/>
    <col min="12329" max="12329" width="10.5" style="111" customWidth="1"/>
    <col min="12330" max="12330" width="12" style="111" customWidth="1"/>
    <col min="12331" max="12544" width="9" style="111"/>
    <col min="12545" max="12545" width="19.125" style="111" customWidth="1"/>
    <col min="12546" max="12546" width="26.75" style="111" customWidth="1"/>
    <col min="12547" max="12576" width="0" style="111" hidden="1" customWidth="1"/>
    <col min="12577" max="12577" width="10.5" style="111" customWidth="1"/>
    <col min="12578" max="12578" width="12" style="111" customWidth="1"/>
    <col min="12579" max="12579" width="10.5" style="111" customWidth="1"/>
    <col min="12580" max="12580" width="12" style="111" customWidth="1"/>
    <col min="12581" max="12581" width="10.5" style="111" customWidth="1"/>
    <col min="12582" max="12582" width="12" style="111" customWidth="1"/>
    <col min="12583" max="12583" width="10.5" style="111" customWidth="1"/>
    <col min="12584" max="12584" width="12" style="111" customWidth="1"/>
    <col min="12585" max="12585" width="10.5" style="111" customWidth="1"/>
    <col min="12586" max="12586" width="12" style="111" customWidth="1"/>
    <col min="12587" max="12800" width="9" style="111"/>
    <col min="12801" max="12801" width="19.125" style="111" customWidth="1"/>
    <col min="12802" max="12802" width="26.75" style="111" customWidth="1"/>
    <col min="12803" max="12832" width="0" style="111" hidden="1" customWidth="1"/>
    <col min="12833" max="12833" width="10.5" style="111" customWidth="1"/>
    <col min="12834" max="12834" width="12" style="111" customWidth="1"/>
    <col min="12835" max="12835" width="10.5" style="111" customWidth="1"/>
    <col min="12836" max="12836" width="12" style="111" customWidth="1"/>
    <col min="12837" max="12837" width="10.5" style="111" customWidth="1"/>
    <col min="12838" max="12838" width="12" style="111" customWidth="1"/>
    <col min="12839" max="12839" width="10.5" style="111" customWidth="1"/>
    <col min="12840" max="12840" width="12" style="111" customWidth="1"/>
    <col min="12841" max="12841" width="10.5" style="111" customWidth="1"/>
    <col min="12842" max="12842" width="12" style="111" customWidth="1"/>
    <col min="12843" max="13056" width="9" style="111"/>
    <col min="13057" max="13057" width="19.125" style="111" customWidth="1"/>
    <col min="13058" max="13058" width="26.75" style="111" customWidth="1"/>
    <col min="13059" max="13088" width="0" style="111" hidden="1" customWidth="1"/>
    <col min="13089" max="13089" width="10.5" style="111" customWidth="1"/>
    <col min="13090" max="13090" width="12" style="111" customWidth="1"/>
    <col min="13091" max="13091" width="10.5" style="111" customWidth="1"/>
    <col min="13092" max="13092" width="12" style="111" customWidth="1"/>
    <col min="13093" max="13093" width="10.5" style="111" customWidth="1"/>
    <col min="13094" max="13094" width="12" style="111" customWidth="1"/>
    <col min="13095" max="13095" width="10.5" style="111" customWidth="1"/>
    <col min="13096" max="13096" width="12" style="111" customWidth="1"/>
    <col min="13097" max="13097" width="10.5" style="111" customWidth="1"/>
    <col min="13098" max="13098" width="12" style="111" customWidth="1"/>
    <col min="13099" max="13312" width="9" style="111"/>
    <col min="13313" max="13313" width="19.125" style="111" customWidth="1"/>
    <col min="13314" max="13314" width="26.75" style="111" customWidth="1"/>
    <col min="13315" max="13344" width="0" style="111" hidden="1" customWidth="1"/>
    <col min="13345" max="13345" width="10.5" style="111" customWidth="1"/>
    <col min="13346" max="13346" width="12" style="111" customWidth="1"/>
    <col min="13347" max="13347" width="10.5" style="111" customWidth="1"/>
    <col min="13348" max="13348" width="12" style="111" customWidth="1"/>
    <col min="13349" max="13349" width="10.5" style="111" customWidth="1"/>
    <col min="13350" max="13350" width="12" style="111" customWidth="1"/>
    <col min="13351" max="13351" width="10.5" style="111" customWidth="1"/>
    <col min="13352" max="13352" width="12" style="111" customWidth="1"/>
    <col min="13353" max="13353" width="10.5" style="111" customWidth="1"/>
    <col min="13354" max="13354" width="12" style="111" customWidth="1"/>
    <col min="13355" max="13568" width="9" style="111"/>
    <col min="13569" max="13569" width="19.125" style="111" customWidth="1"/>
    <col min="13570" max="13570" width="26.75" style="111" customWidth="1"/>
    <col min="13571" max="13600" width="0" style="111" hidden="1" customWidth="1"/>
    <col min="13601" max="13601" width="10.5" style="111" customWidth="1"/>
    <col min="13602" max="13602" width="12" style="111" customWidth="1"/>
    <col min="13603" max="13603" width="10.5" style="111" customWidth="1"/>
    <col min="13604" max="13604" width="12" style="111" customWidth="1"/>
    <col min="13605" max="13605" width="10.5" style="111" customWidth="1"/>
    <col min="13606" max="13606" width="12" style="111" customWidth="1"/>
    <col min="13607" max="13607" width="10.5" style="111" customWidth="1"/>
    <col min="13608" max="13608" width="12" style="111" customWidth="1"/>
    <col min="13609" max="13609" width="10.5" style="111" customWidth="1"/>
    <col min="13610" max="13610" width="12" style="111" customWidth="1"/>
    <col min="13611" max="13824" width="9" style="111"/>
    <col min="13825" max="13825" width="19.125" style="111" customWidth="1"/>
    <col min="13826" max="13826" width="26.75" style="111" customWidth="1"/>
    <col min="13827" max="13856" width="0" style="111" hidden="1" customWidth="1"/>
    <col min="13857" max="13857" width="10.5" style="111" customWidth="1"/>
    <col min="13858" max="13858" width="12" style="111" customWidth="1"/>
    <col min="13859" max="13859" width="10.5" style="111" customWidth="1"/>
    <col min="13860" max="13860" width="12" style="111" customWidth="1"/>
    <col min="13861" max="13861" width="10.5" style="111" customWidth="1"/>
    <col min="13862" max="13862" width="12" style="111" customWidth="1"/>
    <col min="13863" max="13863" width="10.5" style="111" customWidth="1"/>
    <col min="13864" max="13864" width="12" style="111" customWidth="1"/>
    <col min="13865" max="13865" width="10.5" style="111" customWidth="1"/>
    <col min="13866" max="13866" width="12" style="111" customWidth="1"/>
    <col min="13867" max="14080" width="9" style="111"/>
    <col min="14081" max="14081" width="19.125" style="111" customWidth="1"/>
    <col min="14082" max="14082" width="26.75" style="111" customWidth="1"/>
    <col min="14083" max="14112" width="0" style="111" hidden="1" customWidth="1"/>
    <col min="14113" max="14113" width="10.5" style="111" customWidth="1"/>
    <col min="14114" max="14114" width="12" style="111" customWidth="1"/>
    <col min="14115" max="14115" width="10.5" style="111" customWidth="1"/>
    <col min="14116" max="14116" width="12" style="111" customWidth="1"/>
    <col min="14117" max="14117" width="10.5" style="111" customWidth="1"/>
    <col min="14118" max="14118" width="12" style="111" customWidth="1"/>
    <col min="14119" max="14119" width="10.5" style="111" customWidth="1"/>
    <col min="14120" max="14120" width="12" style="111" customWidth="1"/>
    <col min="14121" max="14121" width="10.5" style="111" customWidth="1"/>
    <col min="14122" max="14122" width="12" style="111" customWidth="1"/>
    <col min="14123" max="14336" width="9" style="111"/>
    <col min="14337" max="14337" width="19.125" style="111" customWidth="1"/>
    <col min="14338" max="14338" width="26.75" style="111" customWidth="1"/>
    <col min="14339" max="14368" width="0" style="111" hidden="1" customWidth="1"/>
    <col min="14369" max="14369" width="10.5" style="111" customWidth="1"/>
    <col min="14370" max="14370" width="12" style="111" customWidth="1"/>
    <col min="14371" max="14371" width="10.5" style="111" customWidth="1"/>
    <col min="14372" max="14372" width="12" style="111" customWidth="1"/>
    <col min="14373" max="14373" width="10.5" style="111" customWidth="1"/>
    <col min="14374" max="14374" width="12" style="111" customWidth="1"/>
    <col min="14375" max="14375" width="10.5" style="111" customWidth="1"/>
    <col min="14376" max="14376" width="12" style="111" customWidth="1"/>
    <col min="14377" max="14377" width="10.5" style="111" customWidth="1"/>
    <col min="14378" max="14378" width="12" style="111" customWidth="1"/>
    <col min="14379" max="14592" width="9" style="111"/>
    <col min="14593" max="14593" width="19.125" style="111" customWidth="1"/>
    <col min="14594" max="14594" width="26.75" style="111" customWidth="1"/>
    <col min="14595" max="14624" width="0" style="111" hidden="1" customWidth="1"/>
    <col min="14625" max="14625" width="10.5" style="111" customWidth="1"/>
    <col min="14626" max="14626" width="12" style="111" customWidth="1"/>
    <col min="14627" max="14627" width="10.5" style="111" customWidth="1"/>
    <col min="14628" max="14628" width="12" style="111" customWidth="1"/>
    <col min="14629" max="14629" width="10.5" style="111" customWidth="1"/>
    <col min="14630" max="14630" width="12" style="111" customWidth="1"/>
    <col min="14631" max="14631" width="10.5" style="111" customWidth="1"/>
    <col min="14632" max="14632" width="12" style="111" customWidth="1"/>
    <col min="14633" max="14633" width="10.5" style="111" customWidth="1"/>
    <col min="14634" max="14634" width="12" style="111" customWidth="1"/>
    <col min="14635" max="14848" width="9" style="111"/>
    <col min="14849" max="14849" width="19.125" style="111" customWidth="1"/>
    <col min="14850" max="14850" width="26.75" style="111" customWidth="1"/>
    <col min="14851" max="14880" width="0" style="111" hidden="1" customWidth="1"/>
    <col min="14881" max="14881" width="10.5" style="111" customWidth="1"/>
    <col min="14882" max="14882" width="12" style="111" customWidth="1"/>
    <col min="14883" max="14883" width="10.5" style="111" customWidth="1"/>
    <col min="14884" max="14884" width="12" style="111" customWidth="1"/>
    <col min="14885" max="14885" width="10.5" style="111" customWidth="1"/>
    <col min="14886" max="14886" width="12" style="111" customWidth="1"/>
    <col min="14887" max="14887" width="10.5" style="111" customWidth="1"/>
    <col min="14888" max="14888" width="12" style="111" customWidth="1"/>
    <col min="14889" max="14889" width="10.5" style="111" customWidth="1"/>
    <col min="14890" max="14890" width="12" style="111" customWidth="1"/>
    <col min="14891" max="15104" width="9" style="111"/>
    <col min="15105" max="15105" width="19.125" style="111" customWidth="1"/>
    <col min="15106" max="15106" width="26.75" style="111" customWidth="1"/>
    <col min="15107" max="15136" width="0" style="111" hidden="1" customWidth="1"/>
    <col min="15137" max="15137" width="10.5" style="111" customWidth="1"/>
    <col min="15138" max="15138" width="12" style="111" customWidth="1"/>
    <col min="15139" max="15139" width="10.5" style="111" customWidth="1"/>
    <col min="15140" max="15140" width="12" style="111" customWidth="1"/>
    <col min="15141" max="15141" width="10.5" style="111" customWidth="1"/>
    <col min="15142" max="15142" width="12" style="111" customWidth="1"/>
    <col min="15143" max="15143" width="10.5" style="111" customWidth="1"/>
    <col min="15144" max="15144" width="12" style="111" customWidth="1"/>
    <col min="15145" max="15145" width="10.5" style="111" customWidth="1"/>
    <col min="15146" max="15146" width="12" style="111" customWidth="1"/>
    <col min="15147" max="15360" width="9" style="111"/>
    <col min="15361" max="15361" width="19.125" style="111" customWidth="1"/>
    <col min="15362" max="15362" width="26.75" style="111" customWidth="1"/>
    <col min="15363" max="15392" width="0" style="111" hidden="1" customWidth="1"/>
    <col min="15393" max="15393" width="10.5" style="111" customWidth="1"/>
    <col min="15394" max="15394" width="12" style="111" customWidth="1"/>
    <col min="15395" max="15395" width="10.5" style="111" customWidth="1"/>
    <col min="15396" max="15396" width="12" style="111" customWidth="1"/>
    <col min="15397" max="15397" width="10.5" style="111" customWidth="1"/>
    <col min="15398" max="15398" width="12" style="111" customWidth="1"/>
    <col min="15399" max="15399" width="10.5" style="111" customWidth="1"/>
    <col min="15400" max="15400" width="12" style="111" customWidth="1"/>
    <col min="15401" max="15401" width="10.5" style="111" customWidth="1"/>
    <col min="15402" max="15402" width="12" style="111" customWidth="1"/>
    <col min="15403" max="15616" width="9" style="111"/>
    <col min="15617" max="15617" width="19.125" style="111" customWidth="1"/>
    <col min="15618" max="15618" width="26.75" style="111" customWidth="1"/>
    <col min="15619" max="15648" width="0" style="111" hidden="1" customWidth="1"/>
    <col min="15649" max="15649" width="10.5" style="111" customWidth="1"/>
    <col min="15650" max="15650" width="12" style="111" customWidth="1"/>
    <col min="15651" max="15651" width="10.5" style="111" customWidth="1"/>
    <col min="15652" max="15652" width="12" style="111" customWidth="1"/>
    <col min="15653" max="15653" width="10.5" style="111" customWidth="1"/>
    <col min="15654" max="15654" width="12" style="111" customWidth="1"/>
    <col min="15655" max="15655" width="10.5" style="111" customWidth="1"/>
    <col min="15656" max="15656" width="12" style="111" customWidth="1"/>
    <col min="15657" max="15657" width="10.5" style="111" customWidth="1"/>
    <col min="15658" max="15658" width="12" style="111" customWidth="1"/>
    <col min="15659" max="15872" width="9" style="111"/>
    <col min="15873" max="15873" width="19.125" style="111" customWidth="1"/>
    <col min="15874" max="15874" width="26.75" style="111" customWidth="1"/>
    <col min="15875" max="15904" width="0" style="111" hidden="1" customWidth="1"/>
    <col min="15905" max="15905" width="10.5" style="111" customWidth="1"/>
    <col min="15906" max="15906" width="12" style="111" customWidth="1"/>
    <col min="15907" max="15907" width="10.5" style="111" customWidth="1"/>
    <col min="15908" max="15908" width="12" style="111" customWidth="1"/>
    <col min="15909" max="15909" width="10.5" style="111" customWidth="1"/>
    <col min="15910" max="15910" width="12" style="111" customWidth="1"/>
    <col min="15911" max="15911" width="10.5" style="111" customWidth="1"/>
    <col min="15912" max="15912" width="12" style="111" customWidth="1"/>
    <col min="15913" max="15913" width="10.5" style="111" customWidth="1"/>
    <col min="15914" max="15914" width="12" style="111" customWidth="1"/>
    <col min="15915" max="16128" width="9" style="111"/>
    <col min="16129" max="16129" width="19.125" style="111" customWidth="1"/>
    <col min="16130" max="16130" width="26.75" style="111" customWidth="1"/>
    <col min="16131" max="16160" width="0" style="111" hidden="1" customWidth="1"/>
    <col min="16161" max="16161" width="10.5" style="111" customWidth="1"/>
    <col min="16162" max="16162" width="12" style="111" customWidth="1"/>
    <col min="16163" max="16163" width="10.5" style="111" customWidth="1"/>
    <col min="16164" max="16164" width="12" style="111" customWidth="1"/>
    <col min="16165" max="16165" width="10.5" style="111" customWidth="1"/>
    <col min="16166" max="16166" width="12" style="111" customWidth="1"/>
    <col min="16167" max="16167" width="10.5" style="111" customWidth="1"/>
    <col min="16168" max="16168" width="12" style="111" customWidth="1"/>
    <col min="16169" max="16169" width="10.5" style="111" customWidth="1"/>
    <col min="16170" max="16170" width="12" style="111" customWidth="1"/>
    <col min="16171" max="16384" width="9" style="111"/>
  </cols>
  <sheetData>
    <row r="1" spans="1:42" ht="15.75" customHeight="1" x14ac:dyDescent="0.15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</row>
    <row r="2" spans="1:42" ht="21.75" customHeight="1" x14ac:dyDescent="0.2">
      <c r="A2" s="109" t="s">
        <v>249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</row>
    <row r="3" spans="1:42" ht="21" customHeight="1" thickBot="1" x14ac:dyDescent="0.2">
      <c r="A3" s="110" t="s">
        <v>250</v>
      </c>
      <c r="B3" s="110"/>
      <c r="C3" s="110"/>
      <c r="D3" s="112"/>
      <c r="E3" s="110"/>
      <c r="F3" s="112"/>
      <c r="G3" s="110"/>
      <c r="H3" s="112"/>
      <c r="I3" s="110"/>
      <c r="J3" s="112"/>
      <c r="K3" s="110"/>
      <c r="L3" s="112"/>
      <c r="M3" s="110"/>
      <c r="N3" s="112"/>
      <c r="O3" s="110"/>
      <c r="P3" s="112"/>
      <c r="Q3" s="110"/>
      <c r="R3" s="112"/>
      <c r="S3" s="110"/>
      <c r="T3" s="112"/>
      <c r="U3" s="110"/>
      <c r="V3" s="112"/>
      <c r="W3" s="112"/>
      <c r="X3" s="112"/>
      <c r="Y3" s="110"/>
      <c r="Z3" s="112"/>
      <c r="AA3" s="110"/>
      <c r="AB3" s="112"/>
      <c r="AC3" s="110"/>
      <c r="AD3" s="112"/>
      <c r="AE3" s="110"/>
      <c r="AF3" s="112"/>
      <c r="AG3" s="110"/>
      <c r="AH3" s="112"/>
      <c r="AI3" s="110"/>
      <c r="AJ3" s="112"/>
      <c r="AK3" s="110"/>
      <c r="AL3" s="112"/>
      <c r="AM3" s="110"/>
      <c r="AN3" s="112"/>
      <c r="AO3" s="110"/>
      <c r="AP3" s="112" t="s">
        <v>51</v>
      </c>
    </row>
    <row r="4" spans="1:42" ht="14.1" customHeight="1" x14ac:dyDescent="0.15">
      <c r="A4" s="816" t="s">
        <v>251</v>
      </c>
      <c r="B4" s="732"/>
      <c r="C4" s="819" t="s">
        <v>4</v>
      </c>
      <c r="D4" s="819"/>
      <c r="E4" s="819" t="s">
        <v>88</v>
      </c>
      <c r="F4" s="819"/>
      <c r="G4" s="819" t="s">
        <v>6</v>
      </c>
      <c r="H4" s="819"/>
      <c r="I4" s="819" t="s">
        <v>7</v>
      </c>
      <c r="J4" s="819"/>
      <c r="K4" s="819" t="s">
        <v>8</v>
      </c>
      <c r="L4" s="819"/>
      <c r="M4" s="819" t="s">
        <v>9</v>
      </c>
      <c r="N4" s="819"/>
      <c r="O4" s="819" t="s">
        <v>10</v>
      </c>
      <c r="P4" s="812"/>
      <c r="Q4" s="819" t="s">
        <v>11</v>
      </c>
      <c r="R4" s="812"/>
      <c r="S4" s="812" t="s">
        <v>163</v>
      </c>
      <c r="T4" s="813"/>
      <c r="U4" s="812" t="s">
        <v>13</v>
      </c>
      <c r="V4" s="813"/>
      <c r="W4" s="814" t="s">
        <v>132</v>
      </c>
      <c r="X4" s="815"/>
      <c r="Y4" s="814" t="s">
        <v>133</v>
      </c>
      <c r="Z4" s="815"/>
      <c r="AA4" s="822" t="s">
        <v>37</v>
      </c>
      <c r="AB4" s="815"/>
      <c r="AC4" s="814" t="s">
        <v>38</v>
      </c>
      <c r="AD4" s="822"/>
      <c r="AE4" s="814" t="s">
        <v>39</v>
      </c>
      <c r="AF4" s="822"/>
      <c r="AG4" s="814" t="s">
        <v>252</v>
      </c>
      <c r="AH4" s="815"/>
      <c r="AI4" s="814" t="s">
        <v>253</v>
      </c>
      <c r="AJ4" s="815"/>
      <c r="AK4" s="814" t="s">
        <v>254</v>
      </c>
      <c r="AL4" s="822"/>
      <c r="AM4" s="823" t="s">
        <v>255</v>
      </c>
      <c r="AN4" s="823"/>
      <c r="AO4" s="823" t="s">
        <v>256</v>
      </c>
      <c r="AP4" s="824"/>
    </row>
    <row r="5" spans="1:42" ht="15" customHeight="1" x14ac:dyDescent="0.15">
      <c r="A5" s="817"/>
      <c r="B5" s="818"/>
      <c r="C5" s="127" t="s">
        <v>203</v>
      </c>
      <c r="D5" s="127" t="s">
        <v>204</v>
      </c>
      <c r="E5" s="491" t="s">
        <v>203</v>
      </c>
      <c r="F5" s="127" t="s">
        <v>204</v>
      </c>
      <c r="G5" s="127" t="s">
        <v>203</v>
      </c>
      <c r="H5" s="127" t="s">
        <v>204</v>
      </c>
      <c r="I5" s="127" t="s">
        <v>203</v>
      </c>
      <c r="J5" s="127" t="s">
        <v>204</v>
      </c>
      <c r="K5" s="127" t="s">
        <v>203</v>
      </c>
      <c r="L5" s="127" t="s">
        <v>204</v>
      </c>
      <c r="M5" s="127" t="s">
        <v>203</v>
      </c>
      <c r="N5" s="127" t="s">
        <v>204</v>
      </c>
      <c r="O5" s="127" t="s">
        <v>203</v>
      </c>
      <c r="P5" s="491" t="s">
        <v>204</v>
      </c>
      <c r="Q5" s="127" t="s">
        <v>203</v>
      </c>
      <c r="R5" s="491" t="s">
        <v>204</v>
      </c>
      <c r="S5" s="127" t="s">
        <v>203</v>
      </c>
      <c r="T5" s="127" t="s">
        <v>204</v>
      </c>
      <c r="U5" s="127" t="s">
        <v>203</v>
      </c>
      <c r="V5" s="127" t="s">
        <v>204</v>
      </c>
      <c r="W5" s="492" t="s">
        <v>203</v>
      </c>
      <c r="X5" s="493" t="s">
        <v>204</v>
      </c>
      <c r="Y5" s="492" t="s">
        <v>203</v>
      </c>
      <c r="Z5" s="493" t="s">
        <v>204</v>
      </c>
      <c r="AA5" s="494" t="s">
        <v>203</v>
      </c>
      <c r="AB5" s="493" t="s">
        <v>204</v>
      </c>
      <c r="AC5" s="492" t="s">
        <v>203</v>
      </c>
      <c r="AD5" s="495" t="s">
        <v>204</v>
      </c>
      <c r="AE5" s="492" t="s">
        <v>203</v>
      </c>
      <c r="AF5" s="495" t="s">
        <v>204</v>
      </c>
      <c r="AG5" s="492" t="s">
        <v>203</v>
      </c>
      <c r="AH5" s="493" t="s">
        <v>204</v>
      </c>
      <c r="AI5" s="492" t="s">
        <v>203</v>
      </c>
      <c r="AJ5" s="493" t="s">
        <v>204</v>
      </c>
      <c r="AK5" s="492" t="s">
        <v>203</v>
      </c>
      <c r="AL5" s="495" t="s">
        <v>204</v>
      </c>
      <c r="AM5" s="492" t="s">
        <v>203</v>
      </c>
      <c r="AN5" s="496" t="s">
        <v>204</v>
      </c>
      <c r="AO5" s="492" t="s">
        <v>203</v>
      </c>
      <c r="AP5" s="497" t="s">
        <v>204</v>
      </c>
    </row>
    <row r="6" spans="1:42" ht="15" hidden="1" customHeight="1" x14ac:dyDescent="0.15">
      <c r="A6" s="498" t="s">
        <v>257</v>
      </c>
      <c r="B6" s="499"/>
      <c r="C6" s="500" t="s">
        <v>101</v>
      </c>
      <c r="D6" s="500"/>
      <c r="E6" s="501" t="s">
        <v>101</v>
      </c>
      <c r="F6" s="500"/>
      <c r="G6" s="501" t="s">
        <v>258</v>
      </c>
      <c r="H6" s="500"/>
      <c r="I6" s="501" t="s">
        <v>258</v>
      </c>
      <c r="J6" s="500"/>
      <c r="K6" s="501" t="s">
        <v>258</v>
      </c>
      <c r="L6" s="500"/>
      <c r="M6" s="501" t="s">
        <v>258</v>
      </c>
      <c r="N6" s="500"/>
      <c r="O6" s="501" t="s">
        <v>258</v>
      </c>
      <c r="P6" s="502"/>
      <c r="Q6" s="501" t="s">
        <v>258</v>
      </c>
      <c r="R6" s="502"/>
      <c r="S6" s="501" t="s">
        <v>258</v>
      </c>
      <c r="T6" s="500"/>
      <c r="U6" s="500"/>
      <c r="V6" s="500"/>
      <c r="W6" s="500"/>
      <c r="X6" s="503"/>
      <c r="Y6" s="500"/>
      <c r="Z6" s="503"/>
      <c r="AA6" s="503"/>
      <c r="AB6" s="503"/>
      <c r="AC6" s="500"/>
      <c r="AD6" s="110"/>
      <c r="AE6" s="500"/>
      <c r="AF6" s="110"/>
      <c r="AG6" s="500"/>
      <c r="AH6" s="503"/>
      <c r="AI6" s="500"/>
      <c r="AJ6" s="503"/>
      <c r="AK6" s="500"/>
      <c r="AL6" s="110"/>
      <c r="AM6" s="500"/>
      <c r="AN6" s="500"/>
      <c r="AO6" s="500"/>
      <c r="AP6" s="504"/>
    </row>
    <row r="7" spans="1:42" ht="9.75" hidden="1" customHeight="1" x14ac:dyDescent="0.15">
      <c r="A7" s="498" t="s">
        <v>259</v>
      </c>
      <c r="B7" s="499" t="s">
        <v>260</v>
      </c>
      <c r="C7" s="505">
        <v>0</v>
      </c>
      <c r="D7" s="505">
        <v>0</v>
      </c>
      <c r="E7" s="506">
        <v>0</v>
      </c>
      <c r="F7" s="505">
        <v>0</v>
      </c>
      <c r="G7" s="505">
        <v>0</v>
      </c>
      <c r="H7" s="505">
        <v>0</v>
      </c>
      <c r="I7" s="505">
        <v>0</v>
      </c>
      <c r="J7" s="505">
        <v>0</v>
      </c>
      <c r="K7" s="505">
        <v>0</v>
      </c>
      <c r="L7" s="505">
        <v>0</v>
      </c>
      <c r="M7" s="505">
        <v>0</v>
      </c>
      <c r="N7" s="505">
        <v>0</v>
      </c>
      <c r="O7" s="505">
        <v>0</v>
      </c>
      <c r="P7" s="506">
        <v>0</v>
      </c>
      <c r="Q7" s="505">
        <v>0</v>
      </c>
      <c r="R7" s="506">
        <v>0</v>
      </c>
      <c r="S7" s="505">
        <v>0</v>
      </c>
      <c r="T7" s="505">
        <v>0</v>
      </c>
      <c r="U7" s="505"/>
      <c r="V7" s="505"/>
      <c r="W7" s="500"/>
      <c r="X7" s="503"/>
      <c r="Y7" s="500"/>
      <c r="Z7" s="503"/>
      <c r="AA7" s="503"/>
      <c r="AB7" s="503"/>
      <c r="AC7" s="500"/>
      <c r="AD7" s="110"/>
      <c r="AE7" s="500"/>
      <c r="AF7" s="110"/>
      <c r="AG7" s="500"/>
      <c r="AH7" s="503"/>
      <c r="AI7" s="500"/>
      <c r="AJ7" s="503"/>
      <c r="AK7" s="500"/>
      <c r="AL7" s="110"/>
      <c r="AM7" s="500"/>
      <c r="AN7" s="500"/>
      <c r="AO7" s="500"/>
      <c r="AP7" s="504"/>
    </row>
    <row r="8" spans="1:42" ht="16.5" hidden="1" customHeight="1" x14ac:dyDescent="0.15">
      <c r="A8" s="498"/>
      <c r="B8" s="499" t="s">
        <v>261</v>
      </c>
      <c r="C8" s="505">
        <v>0</v>
      </c>
      <c r="D8" s="505">
        <v>0</v>
      </c>
      <c r="E8" s="506">
        <v>0</v>
      </c>
      <c r="F8" s="505">
        <v>0</v>
      </c>
      <c r="G8" s="505">
        <v>0</v>
      </c>
      <c r="H8" s="505">
        <v>0</v>
      </c>
      <c r="I8" s="505">
        <v>0</v>
      </c>
      <c r="J8" s="505">
        <v>0</v>
      </c>
      <c r="K8" s="505">
        <v>0</v>
      </c>
      <c r="L8" s="505">
        <v>0</v>
      </c>
      <c r="M8" s="505">
        <v>0</v>
      </c>
      <c r="N8" s="505">
        <v>0</v>
      </c>
      <c r="O8" s="505">
        <v>0</v>
      </c>
      <c r="P8" s="506">
        <v>0</v>
      </c>
      <c r="Q8" s="505">
        <v>0</v>
      </c>
      <c r="R8" s="506">
        <v>0</v>
      </c>
      <c r="S8" s="505">
        <v>0</v>
      </c>
      <c r="T8" s="505">
        <v>0</v>
      </c>
      <c r="U8" s="505"/>
      <c r="V8" s="505"/>
      <c r="W8" s="500"/>
      <c r="X8" s="503"/>
      <c r="Y8" s="500"/>
      <c r="Z8" s="503"/>
      <c r="AA8" s="503"/>
      <c r="AB8" s="503"/>
      <c r="AC8" s="500"/>
      <c r="AD8" s="110"/>
      <c r="AE8" s="500"/>
      <c r="AF8" s="110"/>
      <c r="AG8" s="500"/>
      <c r="AH8" s="503"/>
      <c r="AI8" s="500"/>
      <c r="AJ8" s="503"/>
      <c r="AK8" s="500"/>
      <c r="AL8" s="110"/>
      <c r="AM8" s="500"/>
      <c r="AN8" s="500"/>
      <c r="AO8" s="500"/>
      <c r="AP8" s="504"/>
    </row>
    <row r="9" spans="1:42" ht="15.75" hidden="1" customHeight="1" x14ac:dyDescent="0.15">
      <c r="A9" s="498"/>
      <c r="B9" s="499" t="s">
        <v>262</v>
      </c>
      <c r="C9" s="505">
        <v>0</v>
      </c>
      <c r="D9" s="505">
        <v>0</v>
      </c>
      <c r="E9" s="506">
        <v>0</v>
      </c>
      <c r="F9" s="505">
        <v>0</v>
      </c>
      <c r="G9" s="505">
        <v>0</v>
      </c>
      <c r="H9" s="505">
        <v>0</v>
      </c>
      <c r="I9" s="505">
        <v>0</v>
      </c>
      <c r="J9" s="505">
        <v>0</v>
      </c>
      <c r="K9" s="505">
        <v>0</v>
      </c>
      <c r="L9" s="505">
        <v>0</v>
      </c>
      <c r="M9" s="505">
        <v>0</v>
      </c>
      <c r="N9" s="505">
        <v>0</v>
      </c>
      <c r="O9" s="505">
        <v>0</v>
      </c>
      <c r="P9" s="506">
        <v>0</v>
      </c>
      <c r="Q9" s="505">
        <v>0</v>
      </c>
      <c r="R9" s="506">
        <v>0</v>
      </c>
      <c r="S9" s="505">
        <v>0</v>
      </c>
      <c r="T9" s="505">
        <v>0</v>
      </c>
      <c r="U9" s="505"/>
      <c r="V9" s="505"/>
      <c r="W9" s="500"/>
      <c r="X9" s="503"/>
      <c r="Y9" s="500"/>
      <c r="Z9" s="503"/>
      <c r="AA9" s="503"/>
      <c r="AB9" s="503"/>
      <c r="AC9" s="500"/>
      <c r="AD9" s="110"/>
      <c r="AE9" s="500"/>
      <c r="AF9" s="110"/>
      <c r="AG9" s="500"/>
      <c r="AH9" s="503"/>
      <c r="AI9" s="500"/>
      <c r="AJ9" s="503"/>
      <c r="AK9" s="500"/>
      <c r="AL9" s="110"/>
      <c r="AM9" s="500"/>
      <c r="AN9" s="500"/>
      <c r="AO9" s="500"/>
      <c r="AP9" s="504"/>
    </row>
    <row r="10" spans="1:42" ht="10.5" hidden="1" customHeight="1" x14ac:dyDescent="0.15">
      <c r="A10" s="498"/>
      <c r="B10" s="507" t="s">
        <v>263</v>
      </c>
      <c r="C10" s="506">
        <v>0</v>
      </c>
      <c r="D10" s="505">
        <v>0</v>
      </c>
      <c r="E10" s="506">
        <v>0</v>
      </c>
      <c r="F10" s="505">
        <v>0</v>
      </c>
      <c r="G10" s="505">
        <v>0</v>
      </c>
      <c r="H10" s="505">
        <v>0</v>
      </c>
      <c r="I10" s="505">
        <v>0</v>
      </c>
      <c r="J10" s="505">
        <v>0</v>
      </c>
      <c r="K10" s="505">
        <v>0</v>
      </c>
      <c r="L10" s="505">
        <v>0</v>
      </c>
      <c r="M10" s="505">
        <v>0</v>
      </c>
      <c r="N10" s="505">
        <v>0</v>
      </c>
      <c r="O10" s="505">
        <v>0</v>
      </c>
      <c r="P10" s="506">
        <v>0</v>
      </c>
      <c r="Q10" s="505">
        <v>0</v>
      </c>
      <c r="R10" s="506">
        <v>0</v>
      </c>
      <c r="S10" s="505">
        <v>0</v>
      </c>
      <c r="T10" s="505">
        <v>0</v>
      </c>
      <c r="U10" s="505"/>
      <c r="V10" s="505"/>
      <c r="W10" s="500"/>
      <c r="X10" s="503"/>
      <c r="Y10" s="500"/>
      <c r="Z10" s="503"/>
      <c r="AA10" s="503"/>
      <c r="AB10" s="503"/>
      <c r="AC10" s="500"/>
      <c r="AD10" s="110"/>
      <c r="AE10" s="500"/>
      <c r="AF10" s="110"/>
      <c r="AG10" s="500"/>
      <c r="AH10" s="503"/>
      <c r="AI10" s="500"/>
      <c r="AJ10" s="503"/>
      <c r="AK10" s="500"/>
      <c r="AL10" s="110"/>
      <c r="AM10" s="500"/>
      <c r="AN10" s="500"/>
      <c r="AO10" s="500"/>
      <c r="AP10" s="504"/>
    </row>
    <row r="11" spans="1:42" ht="18.75" hidden="1" customHeight="1" x14ac:dyDescent="0.15">
      <c r="A11" s="508"/>
      <c r="B11" s="147" t="s">
        <v>29</v>
      </c>
      <c r="C11" s="509">
        <v>0</v>
      </c>
      <c r="D11" s="510">
        <v>0</v>
      </c>
      <c r="E11" s="509">
        <v>0</v>
      </c>
      <c r="F11" s="510">
        <v>0</v>
      </c>
      <c r="G11" s="510">
        <v>0</v>
      </c>
      <c r="H11" s="510">
        <v>0</v>
      </c>
      <c r="I11" s="510">
        <v>0</v>
      </c>
      <c r="J11" s="510">
        <v>0</v>
      </c>
      <c r="K11" s="510">
        <v>0</v>
      </c>
      <c r="L11" s="510">
        <v>0</v>
      </c>
      <c r="M11" s="510">
        <v>0</v>
      </c>
      <c r="N11" s="510">
        <v>0</v>
      </c>
      <c r="O11" s="510">
        <v>0</v>
      </c>
      <c r="P11" s="509">
        <v>0</v>
      </c>
      <c r="Q11" s="510">
        <v>0</v>
      </c>
      <c r="R11" s="509">
        <v>0</v>
      </c>
      <c r="S11" s="510">
        <v>0</v>
      </c>
      <c r="T11" s="510">
        <v>0</v>
      </c>
      <c r="U11" s="511"/>
      <c r="V11" s="511"/>
      <c r="W11" s="500"/>
      <c r="X11" s="503"/>
      <c r="Y11" s="500"/>
      <c r="Z11" s="503"/>
      <c r="AA11" s="503"/>
      <c r="AB11" s="503"/>
      <c r="AC11" s="500"/>
      <c r="AD11" s="110"/>
      <c r="AE11" s="500"/>
      <c r="AF11" s="110"/>
      <c r="AG11" s="500"/>
      <c r="AH11" s="503"/>
      <c r="AI11" s="500"/>
      <c r="AJ11" s="503"/>
      <c r="AK11" s="500"/>
      <c r="AL11" s="110"/>
      <c r="AM11" s="500"/>
      <c r="AN11" s="500"/>
      <c r="AO11" s="500"/>
      <c r="AP11" s="504"/>
    </row>
    <row r="12" spans="1:42" ht="18" customHeight="1" x14ac:dyDescent="0.15">
      <c r="A12" s="498"/>
      <c r="B12" s="499" t="s">
        <v>264</v>
      </c>
      <c r="C12" s="506">
        <v>0</v>
      </c>
      <c r="D12" s="505">
        <v>0</v>
      </c>
      <c r="E12" s="506">
        <v>44347</v>
      </c>
      <c r="F12" s="505">
        <v>14782</v>
      </c>
      <c r="G12" s="505">
        <v>37998</v>
      </c>
      <c r="H12" s="505">
        <v>12666</v>
      </c>
      <c r="I12" s="505">
        <v>42444</v>
      </c>
      <c r="J12" s="505">
        <v>14148</v>
      </c>
      <c r="K12" s="505">
        <v>36385</v>
      </c>
      <c r="L12" s="505">
        <v>12128</v>
      </c>
      <c r="M12" s="505">
        <v>41669</v>
      </c>
      <c r="N12" s="505">
        <v>13890</v>
      </c>
      <c r="O12" s="505">
        <v>29071</v>
      </c>
      <c r="P12" s="506">
        <v>9690</v>
      </c>
      <c r="Q12" s="505">
        <v>119470</v>
      </c>
      <c r="R12" s="506">
        <v>39824</v>
      </c>
      <c r="S12" s="505">
        <v>150603</v>
      </c>
      <c r="T12" s="505">
        <v>50200</v>
      </c>
      <c r="U12" s="505">
        <v>137166</v>
      </c>
      <c r="V12" s="505">
        <v>45722</v>
      </c>
      <c r="W12" s="512">
        <v>54459</v>
      </c>
      <c r="X12" s="513">
        <v>18153</v>
      </c>
      <c r="Y12" s="512">
        <v>75465</v>
      </c>
      <c r="Z12" s="513">
        <v>25155</v>
      </c>
      <c r="AA12" s="513">
        <v>30212</v>
      </c>
      <c r="AB12" s="513">
        <v>10071</v>
      </c>
      <c r="AC12" s="512">
        <v>7230</v>
      </c>
      <c r="AD12" s="514">
        <v>2410</v>
      </c>
      <c r="AE12" s="512">
        <v>1494</v>
      </c>
      <c r="AF12" s="514">
        <v>498</v>
      </c>
      <c r="AG12" s="512">
        <v>1252</v>
      </c>
      <c r="AH12" s="513">
        <v>417</v>
      </c>
      <c r="AI12" s="512">
        <v>11158</v>
      </c>
      <c r="AJ12" s="513">
        <v>3720</v>
      </c>
      <c r="AK12" s="512">
        <v>10033</v>
      </c>
      <c r="AL12" s="514">
        <v>3344</v>
      </c>
      <c r="AM12" s="512">
        <v>7931</v>
      </c>
      <c r="AN12" s="512">
        <v>2643</v>
      </c>
      <c r="AO12" s="512">
        <v>6651</v>
      </c>
      <c r="AP12" s="515">
        <v>2217</v>
      </c>
    </row>
    <row r="13" spans="1:42" ht="18" customHeight="1" x14ac:dyDescent="0.15">
      <c r="A13" s="498" t="s">
        <v>265</v>
      </c>
      <c r="B13" s="499" t="s">
        <v>266</v>
      </c>
      <c r="C13" s="516">
        <v>146</v>
      </c>
      <c r="D13" s="517">
        <v>98</v>
      </c>
      <c r="E13" s="516">
        <v>125</v>
      </c>
      <c r="F13" s="517">
        <v>84</v>
      </c>
      <c r="G13" s="516">
        <v>108</v>
      </c>
      <c r="H13" s="517">
        <v>72</v>
      </c>
      <c r="I13" s="505">
        <v>0</v>
      </c>
      <c r="J13" s="505">
        <v>0</v>
      </c>
      <c r="K13" s="505">
        <v>0</v>
      </c>
      <c r="L13" s="505">
        <v>0</v>
      </c>
      <c r="M13" s="505">
        <v>422</v>
      </c>
      <c r="N13" s="505">
        <v>281</v>
      </c>
      <c r="O13" s="505">
        <v>20853</v>
      </c>
      <c r="P13" s="506">
        <v>13902</v>
      </c>
      <c r="Q13" s="505">
        <v>17869</v>
      </c>
      <c r="R13" s="506">
        <v>11913</v>
      </c>
      <c r="S13" s="505">
        <v>19908</v>
      </c>
      <c r="T13" s="518">
        <v>13272</v>
      </c>
      <c r="U13" s="518">
        <v>17066</v>
      </c>
      <c r="V13" s="518">
        <v>11377</v>
      </c>
      <c r="W13" s="516">
        <v>18785</v>
      </c>
      <c r="X13" s="519">
        <v>12524</v>
      </c>
      <c r="Y13" s="516">
        <v>13030</v>
      </c>
      <c r="Z13" s="519">
        <v>8686</v>
      </c>
      <c r="AA13" s="519">
        <v>44139</v>
      </c>
      <c r="AB13" s="519">
        <v>29426</v>
      </c>
      <c r="AC13" s="516">
        <v>62644</v>
      </c>
      <c r="AD13" s="520">
        <v>41763</v>
      </c>
      <c r="AE13" s="516">
        <v>57160</v>
      </c>
      <c r="AF13" s="520">
        <v>38107</v>
      </c>
      <c r="AG13" s="516">
        <v>46197</v>
      </c>
      <c r="AH13" s="519">
        <v>30798</v>
      </c>
      <c r="AI13" s="516">
        <v>35778</v>
      </c>
      <c r="AJ13" s="519">
        <v>23852</v>
      </c>
      <c r="AK13" s="516">
        <v>16317</v>
      </c>
      <c r="AL13" s="520">
        <v>10878</v>
      </c>
      <c r="AM13" s="516">
        <v>2994</v>
      </c>
      <c r="AN13" s="516">
        <v>1996</v>
      </c>
      <c r="AO13" s="516">
        <v>617</v>
      </c>
      <c r="AP13" s="521">
        <v>411</v>
      </c>
    </row>
    <row r="14" spans="1:42" ht="18" customHeight="1" x14ac:dyDescent="0.15">
      <c r="A14" s="498"/>
      <c r="B14" s="114" t="s">
        <v>29</v>
      </c>
      <c r="C14" s="522">
        <v>146</v>
      </c>
      <c r="D14" s="522">
        <v>98</v>
      </c>
      <c r="E14" s="522">
        <v>44472</v>
      </c>
      <c r="F14" s="522">
        <v>14866</v>
      </c>
      <c r="G14" s="522">
        <f t="shared" ref="G14:AL14" si="0">SUM(G12:G13)</f>
        <v>38106</v>
      </c>
      <c r="H14" s="522">
        <f t="shared" si="0"/>
        <v>12738</v>
      </c>
      <c r="I14" s="522">
        <f t="shared" si="0"/>
        <v>42444</v>
      </c>
      <c r="J14" s="522">
        <f t="shared" si="0"/>
        <v>14148</v>
      </c>
      <c r="K14" s="522">
        <f t="shared" si="0"/>
        <v>36385</v>
      </c>
      <c r="L14" s="522">
        <f t="shared" si="0"/>
        <v>12128</v>
      </c>
      <c r="M14" s="522">
        <f t="shared" si="0"/>
        <v>42091</v>
      </c>
      <c r="N14" s="522">
        <f t="shared" si="0"/>
        <v>14171</v>
      </c>
      <c r="O14" s="522">
        <f t="shared" si="0"/>
        <v>49924</v>
      </c>
      <c r="P14" s="523">
        <f t="shared" si="0"/>
        <v>23592</v>
      </c>
      <c r="Q14" s="522">
        <f t="shared" si="0"/>
        <v>137339</v>
      </c>
      <c r="R14" s="523">
        <f t="shared" si="0"/>
        <v>51737</v>
      </c>
      <c r="S14" s="522">
        <f t="shared" si="0"/>
        <v>170511</v>
      </c>
      <c r="T14" s="522">
        <f t="shared" si="0"/>
        <v>63472</v>
      </c>
      <c r="U14" s="522">
        <f t="shared" si="0"/>
        <v>154232</v>
      </c>
      <c r="V14" s="522">
        <f t="shared" si="0"/>
        <v>57099</v>
      </c>
      <c r="W14" s="522">
        <f t="shared" si="0"/>
        <v>73244</v>
      </c>
      <c r="X14" s="524">
        <f t="shared" si="0"/>
        <v>30677</v>
      </c>
      <c r="Y14" s="522">
        <f t="shared" si="0"/>
        <v>88495</v>
      </c>
      <c r="Z14" s="524">
        <f t="shared" si="0"/>
        <v>33841</v>
      </c>
      <c r="AA14" s="524">
        <f t="shared" si="0"/>
        <v>74351</v>
      </c>
      <c r="AB14" s="524">
        <f t="shared" si="0"/>
        <v>39497</v>
      </c>
      <c r="AC14" s="522">
        <f t="shared" si="0"/>
        <v>69874</v>
      </c>
      <c r="AD14" s="525">
        <f t="shared" si="0"/>
        <v>44173</v>
      </c>
      <c r="AE14" s="522">
        <f t="shared" si="0"/>
        <v>58654</v>
      </c>
      <c r="AF14" s="525">
        <f t="shared" si="0"/>
        <v>38605</v>
      </c>
      <c r="AG14" s="522">
        <f t="shared" si="0"/>
        <v>47449</v>
      </c>
      <c r="AH14" s="524">
        <f t="shared" si="0"/>
        <v>31215</v>
      </c>
      <c r="AI14" s="522">
        <f t="shared" si="0"/>
        <v>46936</v>
      </c>
      <c r="AJ14" s="524">
        <f t="shared" si="0"/>
        <v>27572</v>
      </c>
      <c r="AK14" s="522">
        <f t="shared" si="0"/>
        <v>26350</v>
      </c>
      <c r="AL14" s="525">
        <f t="shared" si="0"/>
        <v>14222</v>
      </c>
      <c r="AM14" s="522">
        <f>SUM(AM12:AM13)</f>
        <v>10925</v>
      </c>
      <c r="AN14" s="522">
        <f>SUM(AN12:AN13)</f>
        <v>4639</v>
      </c>
      <c r="AO14" s="522">
        <v>7268</v>
      </c>
      <c r="AP14" s="526">
        <v>2628</v>
      </c>
    </row>
    <row r="15" spans="1:42" ht="18" customHeight="1" x14ac:dyDescent="0.15">
      <c r="A15" s="527" t="s">
        <v>267</v>
      </c>
      <c r="B15" s="528" t="s">
        <v>268</v>
      </c>
      <c r="C15" s="522">
        <v>436228</v>
      </c>
      <c r="D15" s="522">
        <v>218114</v>
      </c>
      <c r="E15" s="523">
        <v>1871916</v>
      </c>
      <c r="F15" s="522">
        <v>935958</v>
      </c>
      <c r="G15" s="522">
        <v>1499184</v>
      </c>
      <c r="H15" s="522">
        <v>749592</v>
      </c>
      <c r="I15" s="522">
        <v>1109186</v>
      </c>
      <c r="J15" s="522">
        <v>554593</v>
      </c>
      <c r="K15" s="522">
        <v>851694</v>
      </c>
      <c r="L15" s="522">
        <v>425847</v>
      </c>
      <c r="M15" s="522">
        <v>861079</v>
      </c>
      <c r="N15" s="522">
        <v>430539</v>
      </c>
      <c r="O15" s="522">
        <v>684745</v>
      </c>
      <c r="P15" s="523">
        <v>342372</v>
      </c>
      <c r="Q15" s="522">
        <v>638325</v>
      </c>
      <c r="R15" s="523">
        <v>319162</v>
      </c>
      <c r="S15" s="522">
        <v>549521</v>
      </c>
      <c r="T15" s="522">
        <v>274761</v>
      </c>
      <c r="U15" s="522">
        <v>747419</v>
      </c>
      <c r="V15" s="522">
        <v>373709</v>
      </c>
      <c r="W15" s="522">
        <v>719663</v>
      </c>
      <c r="X15" s="524">
        <v>359831</v>
      </c>
      <c r="Y15" s="522">
        <v>674681</v>
      </c>
      <c r="Z15" s="524">
        <v>337340</v>
      </c>
      <c r="AA15" s="524">
        <v>767155</v>
      </c>
      <c r="AB15" s="524">
        <v>383577</v>
      </c>
      <c r="AC15" s="522">
        <v>769078</v>
      </c>
      <c r="AD15" s="525">
        <v>384539</v>
      </c>
      <c r="AE15" s="522">
        <v>884042</v>
      </c>
      <c r="AF15" s="525">
        <v>442021</v>
      </c>
      <c r="AG15" s="522">
        <v>810292</v>
      </c>
      <c r="AH15" s="524">
        <v>405146</v>
      </c>
      <c r="AI15" s="522">
        <v>1114437</v>
      </c>
      <c r="AJ15" s="524">
        <v>557218</v>
      </c>
      <c r="AK15" s="522">
        <v>1159239</v>
      </c>
      <c r="AL15" s="525">
        <v>579619</v>
      </c>
      <c r="AM15" s="522">
        <v>862366</v>
      </c>
      <c r="AN15" s="522">
        <v>431183</v>
      </c>
      <c r="AO15" s="522">
        <v>763259</v>
      </c>
      <c r="AP15" s="526">
        <v>381629</v>
      </c>
    </row>
    <row r="16" spans="1:42" ht="18" hidden="1" customHeight="1" x14ac:dyDescent="0.15">
      <c r="A16" s="527" t="s">
        <v>269</v>
      </c>
      <c r="B16" s="528" t="s">
        <v>270</v>
      </c>
      <c r="C16" s="510">
        <v>0</v>
      </c>
      <c r="D16" s="510">
        <v>0</v>
      </c>
      <c r="E16" s="510">
        <v>0</v>
      </c>
      <c r="F16" s="510">
        <v>0</v>
      </c>
      <c r="G16" s="510">
        <v>0</v>
      </c>
      <c r="H16" s="510">
        <v>0</v>
      </c>
      <c r="I16" s="510">
        <v>0</v>
      </c>
      <c r="J16" s="510">
        <v>0</v>
      </c>
      <c r="K16" s="510">
        <v>0</v>
      </c>
      <c r="L16" s="510">
        <v>0</v>
      </c>
      <c r="M16" s="510">
        <v>0</v>
      </c>
      <c r="N16" s="510">
        <v>0</v>
      </c>
      <c r="O16" s="510">
        <v>0</v>
      </c>
      <c r="P16" s="510">
        <v>0</v>
      </c>
      <c r="Q16" s="529">
        <v>0</v>
      </c>
      <c r="R16" s="529">
        <v>0</v>
      </c>
      <c r="S16" s="529">
        <v>0</v>
      </c>
      <c r="T16" s="529">
        <v>0</v>
      </c>
      <c r="U16" s="510">
        <v>0</v>
      </c>
      <c r="V16" s="510">
        <v>0</v>
      </c>
      <c r="W16" s="510">
        <v>0</v>
      </c>
      <c r="X16" s="510">
        <v>0</v>
      </c>
      <c r="Y16" s="522">
        <v>8064</v>
      </c>
      <c r="Z16" s="524">
        <v>5376</v>
      </c>
      <c r="AA16" s="524">
        <v>41</v>
      </c>
      <c r="AB16" s="524">
        <v>27</v>
      </c>
      <c r="AC16" s="510">
        <v>0</v>
      </c>
      <c r="AD16" s="530">
        <v>0</v>
      </c>
      <c r="AE16" s="510">
        <v>0</v>
      </c>
      <c r="AF16" s="530">
        <v>0</v>
      </c>
      <c r="AG16" s="510">
        <v>0</v>
      </c>
      <c r="AH16" s="531">
        <v>0</v>
      </c>
      <c r="AI16" s="510">
        <v>0</v>
      </c>
      <c r="AJ16" s="531">
        <v>0</v>
      </c>
      <c r="AK16" s="510">
        <v>0</v>
      </c>
      <c r="AL16" s="530">
        <v>0</v>
      </c>
      <c r="AM16" s="510">
        <v>0</v>
      </c>
      <c r="AN16" s="531">
        <v>0</v>
      </c>
      <c r="AO16" s="510"/>
      <c r="AP16" s="532"/>
    </row>
    <row r="17" spans="1:42" ht="18" customHeight="1" x14ac:dyDescent="0.15">
      <c r="A17" s="825" t="s">
        <v>271</v>
      </c>
      <c r="B17" s="533" t="s">
        <v>272</v>
      </c>
      <c r="C17" s="512">
        <v>4896</v>
      </c>
      <c r="D17" s="512">
        <v>1632</v>
      </c>
      <c r="E17" s="534">
        <v>0</v>
      </c>
      <c r="F17" s="534">
        <v>0</v>
      </c>
      <c r="G17" s="512">
        <v>5498</v>
      </c>
      <c r="H17" s="512">
        <v>1833</v>
      </c>
      <c r="I17" s="512">
        <v>21641</v>
      </c>
      <c r="J17" s="512">
        <v>7214</v>
      </c>
      <c r="K17" s="512">
        <v>42327</v>
      </c>
      <c r="L17" s="512">
        <v>14120</v>
      </c>
      <c r="M17" s="512">
        <v>37038</v>
      </c>
      <c r="N17" s="512">
        <v>12390</v>
      </c>
      <c r="O17" s="512">
        <v>24175</v>
      </c>
      <c r="P17" s="535">
        <v>8058</v>
      </c>
      <c r="Q17" s="512">
        <v>10783</v>
      </c>
      <c r="R17" s="535">
        <v>3594</v>
      </c>
      <c r="S17" s="512">
        <v>4923</v>
      </c>
      <c r="T17" s="512">
        <v>1641</v>
      </c>
      <c r="U17" s="529">
        <v>0</v>
      </c>
      <c r="V17" s="529">
        <v>0</v>
      </c>
      <c r="W17" s="529">
        <v>0</v>
      </c>
      <c r="X17" s="529">
        <v>0</v>
      </c>
      <c r="Y17" s="529">
        <v>0</v>
      </c>
      <c r="Z17" s="531">
        <v>0</v>
      </c>
      <c r="AA17" s="536">
        <v>0</v>
      </c>
      <c r="AB17" s="531">
        <v>0</v>
      </c>
      <c r="AC17" s="529">
        <v>4446</v>
      </c>
      <c r="AD17" s="530">
        <v>1482</v>
      </c>
      <c r="AE17" s="529">
        <v>3867</v>
      </c>
      <c r="AF17" s="530">
        <v>1289</v>
      </c>
      <c r="AG17" s="529">
        <v>0</v>
      </c>
      <c r="AH17" s="531">
        <v>0</v>
      </c>
      <c r="AI17" s="529">
        <v>0</v>
      </c>
      <c r="AJ17" s="531">
        <v>0</v>
      </c>
      <c r="AK17" s="529">
        <v>0</v>
      </c>
      <c r="AL17" s="530">
        <v>0</v>
      </c>
      <c r="AM17" s="529">
        <v>6334</v>
      </c>
      <c r="AN17" s="531">
        <v>2111</v>
      </c>
      <c r="AO17" s="529">
        <v>5020</v>
      </c>
      <c r="AP17" s="532">
        <v>1673</v>
      </c>
    </row>
    <row r="18" spans="1:42" ht="18" customHeight="1" x14ac:dyDescent="0.15">
      <c r="A18" s="826"/>
      <c r="B18" s="499" t="s">
        <v>273</v>
      </c>
      <c r="C18" s="517"/>
      <c r="D18" s="517"/>
      <c r="E18" s="537"/>
      <c r="F18" s="537"/>
      <c r="G18" s="517"/>
      <c r="H18" s="517"/>
      <c r="I18" s="517"/>
      <c r="J18" s="517"/>
      <c r="K18" s="517"/>
      <c r="L18" s="517"/>
      <c r="M18" s="517"/>
      <c r="N18" s="517"/>
      <c r="O18" s="517"/>
      <c r="P18" s="538"/>
      <c r="Q18" s="517"/>
      <c r="R18" s="538"/>
      <c r="S18" s="517"/>
      <c r="T18" s="517"/>
      <c r="U18" s="529"/>
      <c r="V18" s="529"/>
      <c r="W18" s="529"/>
      <c r="X18" s="529"/>
      <c r="Y18" s="529"/>
      <c r="Z18" s="529"/>
      <c r="AA18" s="536"/>
      <c r="AB18" s="529"/>
      <c r="AC18" s="529"/>
      <c r="AD18" s="539"/>
      <c r="AE18" s="529"/>
      <c r="AF18" s="539"/>
      <c r="AG18" s="529"/>
      <c r="AH18" s="529"/>
      <c r="AI18" s="529"/>
      <c r="AJ18" s="529"/>
      <c r="AK18" s="529"/>
      <c r="AL18" s="539"/>
      <c r="AM18" s="529"/>
      <c r="AN18" s="529"/>
      <c r="AO18" s="529"/>
      <c r="AP18" s="540"/>
    </row>
    <row r="19" spans="1:42" ht="18" customHeight="1" x14ac:dyDescent="0.15">
      <c r="A19" s="826"/>
      <c r="B19" s="507" t="s">
        <v>274</v>
      </c>
      <c r="C19" s="511">
        <v>0</v>
      </c>
      <c r="D19" s="511">
        <v>0</v>
      </c>
      <c r="E19" s="511">
        <v>0</v>
      </c>
      <c r="F19" s="511">
        <v>0</v>
      </c>
      <c r="G19" s="541">
        <v>0</v>
      </c>
      <c r="H19" s="541">
        <v>0</v>
      </c>
      <c r="I19" s="541">
        <v>0</v>
      </c>
      <c r="J19" s="541">
        <v>0</v>
      </c>
      <c r="K19" s="541">
        <v>0</v>
      </c>
      <c r="L19" s="541">
        <v>0</v>
      </c>
      <c r="M19" s="541">
        <v>0</v>
      </c>
      <c r="N19" s="541">
        <v>0</v>
      </c>
      <c r="O19" s="516">
        <v>133</v>
      </c>
      <c r="P19" s="542">
        <v>89</v>
      </c>
      <c r="Q19" s="516">
        <v>1131</v>
      </c>
      <c r="R19" s="542">
        <v>754</v>
      </c>
      <c r="S19" s="543" t="s">
        <v>165</v>
      </c>
      <c r="T19" s="543" t="s">
        <v>165</v>
      </c>
      <c r="U19" s="511">
        <v>0</v>
      </c>
      <c r="V19" s="511">
        <v>0</v>
      </c>
      <c r="W19" s="511">
        <v>0</v>
      </c>
      <c r="X19" s="511">
        <v>0</v>
      </c>
      <c r="Y19" s="511">
        <v>0</v>
      </c>
      <c r="Z19" s="511">
        <v>0</v>
      </c>
      <c r="AA19" s="544">
        <v>0</v>
      </c>
      <c r="AB19" s="511">
        <v>0</v>
      </c>
      <c r="AC19" s="511">
        <v>895</v>
      </c>
      <c r="AD19" s="545">
        <v>596</v>
      </c>
      <c r="AE19" s="511">
        <v>40</v>
      </c>
      <c r="AF19" s="545">
        <v>27</v>
      </c>
      <c r="AG19" s="511">
        <v>0</v>
      </c>
      <c r="AH19" s="511">
        <v>0</v>
      </c>
      <c r="AI19" s="511">
        <v>0</v>
      </c>
      <c r="AJ19" s="511">
        <v>0</v>
      </c>
      <c r="AK19" s="511">
        <v>0</v>
      </c>
      <c r="AL19" s="545">
        <v>0</v>
      </c>
      <c r="AM19" s="511">
        <v>0</v>
      </c>
      <c r="AN19" s="511">
        <v>0</v>
      </c>
      <c r="AO19" s="541" t="s">
        <v>275</v>
      </c>
      <c r="AP19" s="546" t="s">
        <v>275</v>
      </c>
    </row>
    <row r="20" spans="1:42" ht="18" customHeight="1" x14ac:dyDescent="0.15">
      <c r="A20" s="827"/>
      <c r="B20" s="147" t="s">
        <v>29</v>
      </c>
      <c r="C20" s="522"/>
      <c r="D20" s="522"/>
      <c r="E20" s="523">
        <v>0</v>
      </c>
      <c r="F20" s="522">
        <v>0</v>
      </c>
      <c r="G20" s="547">
        <f t="shared" ref="G20:T20" si="1">SUM(G17:G19)</f>
        <v>5498</v>
      </c>
      <c r="H20" s="547">
        <f t="shared" si="1"/>
        <v>1833</v>
      </c>
      <c r="I20" s="547">
        <f t="shared" si="1"/>
        <v>21641</v>
      </c>
      <c r="J20" s="547">
        <f t="shared" si="1"/>
        <v>7214</v>
      </c>
      <c r="K20" s="547">
        <f t="shared" si="1"/>
        <v>42327</v>
      </c>
      <c r="L20" s="547">
        <f t="shared" si="1"/>
        <v>14120</v>
      </c>
      <c r="M20" s="547">
        <f t="shared" si="1"/>
        <v>37038</v>
      </c>
      <c r="N20" s="547">
        <f t="shared" si="1"/>
        <v>12390</v>
      </c>
      <c r="O20" s="516">
        <f t="shared" si="1"/>
        <v>24308</v>
      </c>
      <c r="P20" s="523">
        <f t="shared" si="1"/>
        <v>8147</v>
      </c>
      <c r="Q20" s="516">
        <f t="shared" si="1"/>
        <v>11914</v>
      </c>
      <c r="R20" s="523">
        <f t="shared" si="1"/>
        <v>4348</v>
      </c>
      <c r="S20" s="516">
        <f t="shared" si="1"/>
        <v>4923</v>
      </c>
      <c r="T20" s="522">
        <f t="shared" si="1"/>
        <v>1641</v>
      </c>
      <c r="U20" s="529">
        <v>0</v>
      </c>
      <c r="V20" s="529">
        <v>0</v>
      </c>
      <c r="W20" s="529">
        <v>0</v>
      </c>
      <c r="X20" s="511">
        <v>0</v>
      </c>
      <c r="Y20" s="529">
        <v>0</v>
      </c>
      <c r="Z20" s="511">
        <v>0</v>
      </c>
      <c r="AA20" s="536">
        <v>0</v>
      </c>
      <c r="AB20" s="511">
        <v>0</v>
      </c>
      <c r="AC20" s="522">
        <f>SUM(AC17:AC19)</f>
        <v>5341</v>
      </c>
      <c r="AD20" s="525">
        <f>SUM(AD17:AD19)</f>
        <v>2078</v>
      </c>
      <c r="AE20" s="522">
        <f>SUM(AE17:AE19)</f>
        <v>3907</v>
      </c>
      <c r="AF20" s="525">
        <f>SUM(AF17:AF19)</f>
        <v>1316</v>
      </c>
      <c r="AG20" s="510">
        <v>0</v>
      </c>
      <c r="AH20" s="548">
        <v>0</v>
      </c>
      <c r="AI20" s="510">
        <v>0</v>
      </c>
      <c r="AJ20" s="548">
        <v>0</v>
      </c>
      <c r="AK20" s="510">
        <f t="shared" ref="AK20:AP20" si="2">SUM(AK17:AK19)</f>
        <v>0</v>
      </c>
      <c r="AL20" s="549">
        <f t="shared" si="2"/>
        <v>0</v>
      </c>
      <c r="AM20" s="510">
        <f t="shared" si="2"/>
        <v>6334</v>
      </c>
      <c r="AN20" s="510">
        <f t="shared" si="2"/>
        <v>2111</v>
      </c>
      <c r="AO20" s="510">
        <f t="shared" si="2"/>
        <v>5020</v>
      </c>
      <c r="AP20" s="550">
        <f t="shared" si="2"/>
        <v>1673</v>
      </c>
    </row>
    <row r="21" spans="1:42" ht="18" hidden="1" customHeight="1" x14ac:dyDescent="0.15">
      <c r="A21" s="527" t="s">
        <v>276</v>
      </c>
      <c r="B21" s="528" t="s">
        <v>277</v>
      </c>
      <c r="C21" s="522">
        <v>76984</v>
      </c>
      <c r="D21" s="522">
        <v>38492</v>
      </c>
      <c r="E21" s="523">
        <v>63545</v>
      </c>
      <c r="F21" s="522">
        <v>31772</v>
      </c>
      <c r="G21" s="522">
        <v>79927</v>
      </c>
      <c r="H21" s="522">
        <v>39963</v>
      </c>
      <c r="I21" s="522">
        <v>53752</v>
      </c>
      <c r="J21" s="522">
        <v>26876</v>
      </c>
      <c r="K21" s="522">
        <v>35439</v>
      </c>
      <c r="L21" s="522">
        <v>17720</v>
      </c>
      <c r="M21" s="522">
        <v>10988</v>
      </c>
      <c r="N21" s="522">
        <v>5494</v>
      </c>
      <c r="O21" s="522">
        <v>9603</v>
      </c>
      <c r="P21" s="523">
        <v>4801</v>
      </c>
      <c r="Q21" s="522">
        <v>10022</v>
      </c>
      <c r="R21" s="523">
        <v>5011</v>
      </c>
      <c r="S21" s="522">
        <v>8833</v>
      </c>
      <c r="T21" s="522">
        <v>4416</v>
      </c>
      <c r="U21" s="522">
        <v>7823</v>
      </c>
      <c r="V21" s="522">
        <v>3912</v>
      </c>
      <c r="W21" s="522">
        <v>16570</v>
      </c>
      <c r="X21" s="524">
        <v>8285</v>
      </c>
      <c r="Y21" s="522">
        <v>14265</v>
      </c>
      <c r="Z21" s="524">
        <v>7132</v>
      </c>
      <c r="AA21" s="524">
        <v>7835</v>
      </c>
      <c r="AB21" s="524">
        <v>3917</v>
      </c>
      <c r="AC21" s="522">
        <v>4062</v>
      </c>
      <c r="AD21" s="525">
        <v>2031</v>
      </c>
      <c r="AE21" s="510">
        <v>0</v>
      </c>
      <c r="AF21" s="509">
        <v>0</v>
      </c>
      <c r="AG21" s="510">
        <v>0</v>
      </c>
      <c r="AH21" s="510">
        <v>0</v>
      </c>
      <c r="AI21" s="510">
        <v>0</v>
      </c>
      <c r="AJ21" s="510">
        <v>0</v>
      </c>
      <c r="AK21" s="510">
        <v>0</v>
      </c>
      <c r="AL21" s="509">
        <v>0</v>
      </c>
      <c r="AM21" s="510">
        <v>0</v>
      </c>
      <c r="AN21" s="510">
        <v>0</v>
      </c>
      <c r="AO21" s="510">
        <v>0</v>
      </c>
      <c r="AP21" s="550">
        <v>0</v>
      </c>
    </row>
    <row r="22" spans="1:42" ht="18" customHeight="1" x14ac:dyDescent="0.15">
      <c r="A22" s="551" t="s">
        <v>278</v>
      </c>
      <c r="B22" s="533" t="s">
        <v>279</v>
      </c>
      <c r="C22" s="512">
        <v>23254</v>
      </c>
      <c r="D22" s="512">
        <v>11627</v>
      </c>
      <c r="E22" s="535">
        <v>21211</v>
      </c>
      <c r="F22" s="512">
        <v>10605</v>
      </c>
      <c r="G22" s="512">
        <v>34101</v>
      </c>
      <c r="H22" s="512">
        <v>17058</v>
      </c>
      <c r="I22" s="512">
        <v>46247</v>
      </c>
      <c r="J22" s="512">
        <v>23123</v>
      </c>
      <c r="K22" s="512">
        <v>71724</v>
      </c>
      <c r="L22" s="512">
        <v>40165</v>
      </c>
      <c r="M22" s="512">
        <v>80448</v>
      </c>
      <c r="N22" s="512">
        <v>48269</v>
      </c>
      <c r="O22" s="512">
        <v>51297</v>
      </c>
      <c r="P22" s="535">
        <v>30778</v>
      </c>
      <c r="Q22" s="512">
        <v>43324</v>
      </c>
      <c r="R22" s="535">
        <v>25995</v>
      </c>
      <c r="S22" s="512">
        <v>36117</v>
      </c>
      <c r="T22" s="512">
        <v>21670</v>
      </c>
      <c r="U22" s="522">
        <v>31329</v>
      </c>
      <c r="V22" s="522">
        <v>18798</v>
      </c>
      <c r="W22" s="522">
        <v>35117</v>
      </c>
      <c r="X22" s="524">
        <v>21070</v>
      </c>
      <c r="Y22" s="522">
        <v>29244</v>
      </c>
      <c r="Z22" s="524">
        <v>17546</v>
      </c>
      <c r="AA22" s="524">
        <v>34948</v>
      </c>
      <c r="AB22" s="524">
        <v>20969</v>
      </c>
      <c r="AC22" s="522">
        <v>36593</v>
      </c>
      <c r="AD22" s="525">
        <v>21956</v>
      </c>
      <c r="AE22" s="522">
        <v>30731</v>
      </c>
      <c r="AF22" s="525">
        <v>18438</v>
      </c>
      <c r="AG22" s="522">
        <v>27141</v>
      </c>
      <c r="AH22" s="524">
        <v>16285</v>
      </c>
      <c r="AI22" s="522">
        <v>26367</v>
      </c>
      <c r="AJ22" s="524">
        <v>15820</v>
      </c>
      <c r="AK22" s="522">
        <v>21968</v>
      </c>
      <c r="AL22" s="525">
        <v>13181</v>
      </c>
      <c r="AM22" s="522">
        <v>18674</v>
      </c>
      <c r="AN22" s="522">
        <v>11204</v>
      </c>
      <c r="AO22" s="522">
        <v>18695</v>
      </c>
      <c r="AP22" s="526">
        <v>11217</v>
      </c>
    </row>
    <row r="23" spans="1:42" ht="18" customHeight="1" x14ac:dyDescent="0.15">
      <c r="A23" s="551" t="s">
        <v>280</v>
      </c>
      <c r="B23" s="533" t="s">
        <v>281</v>
      </c>
      <c r="C23" s="512"/>
      <c r="D23" s="512"/>
      <c r="E23" s="535"/>
      <c r="F23" s="512"/>
      <c r="G23" s="512"/>
      <c r="H23" s="512"/>
      <c r="I23" s="512"/>
      <c r="J23" s="512"/>
      <c r="K23" s="512"/>
      <c r="L23" s="512"/>
      <c r="M23" s="512"/>
      <c r="N23" s="512"/>
      <c r="O23" s="512"/>
      <c r="P23" s="535"/>
      <c r="Q23" s="512"/>
      <c r="R23" s="535"/>
      <c r="S23" s="512"/>
      <c r="T23" s="512"/>
      <c r="U23" s="522"/>
      <c r="V23" s="522"/>
      <c r="W23" s="522"/>
      <c r="X23" s="524"/>
      <c r="Y23" s="522"/>
      <c r="Z23" s="524"/>
      <c r="AA23" s="510">
        <v>0</v>
      </c>
      <c r="AB23" s="510">
        <v>0</v>
      </c>
      <c r="AC23" s="510">
        <v>0</v>
      </c>
      <c r="AD23" s="510">
        <v>0</v>
      </c>
      <c r="AE23" s="510">
        <v>0</v>
      </c>
      <c r="AF23" s="510">
        <v>0</v>
      </c>
      <c r="AG23" s="510">
        <v>0</v>
      </c>
      <c r="AH23" s="510">
        <v>0</v>
      </c>
      <c r="AI23" s="522">
        <v>3378</v>
      </c>
      <c r="AJ23" s="524">
        <v>1689</v>
      </c>
      <c r="AK23" s="552" t="s">
        <v>165</v>
      </c>
      <c r="AL23" s="553" t="s">
        <v>165</v>
      </c>
      <c r="AM23" s="552" t="s">
        <v>165</v>
      </c>
      <c r="AN23" s="552" t="s">
        <v>165</v>
      </c>
      <c r="AO23" s="552" t="s">
        <v>275</v>
      </c>
      <c r="AP23" s="554" t="s">
        <v>275</v>
      </c>
    </row>
    <row r="24" spans="1:42" ht="18" hidden="1" customHeight="1" x14ac:dyDescent="0.15">
      <c r="A24" s="555"/>
      <c r="B24" s="533" t="s">
        <v>282</v>
      </c>
      <c r="C24" s="556">
        <v>0</v>
      </c>
      <c r="D24" s="556">
        <v>0</v>
      </c>
      <c r="E24" s="557">
        <v>0</v>
      </c>
      <c r="F24" s="556">
        <v>0</v>
      </c>
      <c r="G24" s="512">
        <v>46895</v>
      </c>
      <c r="H24" s="512">
        <v>15632</v>
      </c>
      <c r="I24" s="512">
        <v>38030</v>
      </c>
      <c r="J24" s="512">
        <v>12677</v>
      </c>
      <c r="K24" s="512">
        <v>30802</v>
      </c>
      <c r="L24" s="512">
        <v>10267</v>
      </c>
      <c r="M24" s="512">
        <v>25463</v>
      </c>
      <c r="N24" s="512">
        <v>8488</v>
      </c>
      <c r="O24" s="531">
        <v>0</v>
      </c>
      <c r="P24" s="530">
        <v>0</v>
      </c>
      <c r="Q24" s="531">
        <v>16666</v>
      </c>
      <c r="R24" s="530">
        <v>5555</v>
      </c>
      <c r="S24" s="531">
        <v>0</v>
      </c>
      <c r="T24" s="531">
        <v>0</v>
      </c>
      <c r="U24" s="529">
        <v>0</v>
      </c>
      <c r="V24" s="529">
        <v>0</v>
      </c>
      <c r="W24" s="529">
        <v>0</v>
      </c>
      <c r="X24" s="531">
        <v>0</v>
      </c>
      <c r="Y24" s="529">
        <v>0</v>
      </c>
      <c r="Z24" s="531">
        <v>0</v>
      </c>
      <c r="AA24" s="536">
        <v>0</v>
      </c>
      <c r="AB24" s="531">
        <v>0</v>
      </c>
      <c r="AC24" s="529">
        <v>0</v>
      </c>
      <c r="AD24" s="530">
        <v>0</v>
      </c>
      <c r="AE24" s="529">
        <v>0</v>
      </c>
      <c r="AF24" s="530">
        <v>0</v>
      </c>
      <c r="AG24" s="529">
        <v>0</v>
      </c>
      <c r="AH24" s="531">
        <v>0</v>
      </c>
      <c r="AI24" s="529">
        <v>0</v>
      </c>
      <c r="AJ24" s="531">
        <v>0</v>
      </c>
      <c r="AK24" s="558"/>
      <c r="AL24" s="559"/>
      <c r="AM24" s="558"/>
      <c r="AN24" s="560"/>
      <c r="AO24" s="529"/>
      <c r="AP24" s="532"/>
    </row>
    <row r="25" spans="1:42" ht="18" hidden="1" customHeight="1" x14ac:dyDescent="0.15">
      <c r="A25" s="828" t="s">
        <v>283</v>
      </c>
      <c r="B25" s="499" t="s">
        <v>284</v>
      </c>
      <c r="C25" s="505">
        <v>0</v>
      </c>
      <c r="D25" s="505">
        <v>0</v>
      </c>
      <c r="E25" s="506">
        <v>0</v>
      </c>
      <c r="F25" s="505">
        <v>0</v>
      </c>
      <c r="G25" s="517">
        <v>794</v>
      </c>
      <c r="H25" s="517">
        <v>132</v>
      </c>
      <c r="I25" s="517">
        <v>690</v>
      </c>
      <c r="J25" s="517">
        <v>115</v>
      </c>
      <c r="K25" s="517">
        <v>633</v>
      </c>
      <c r="L25" s="517">
        <v>106</v>
      </c>
      <c r="M25" s="517">
        <v>583</v>
      </c>
      <c r="N25" s="517">
        <v>97</v>
      </c>
      <c r="O25" s="529">
        <v>0</v>
      </c>
      <c r="P25" s="539">
        <v>0</v>
      </c>
      <c r="Q25" s="529">
        <v>503</v>
      </c>
      <c r="R25" s="539">
        <v>84</v>
      </c>
      <c r="S25" s="529">
        <v>0</v>
      </c>
      <c r="T25" s="529">
        <v>0</v>
      </c>
      <c r="U25" s="529">
        <v>0</v>
      </c>
      <c r="V25" s="529">
        <v>0</v>
      </c>
      <c r="W25" s="529">
        <v>0</v>
      </c>
      <c r="X25" s="529">
        <v>0</v>
      </c>
      <c r="Y25" s="529">
        <v>0</v>
      </c>
      <c r="Z25" s="529">
        <v>0</v>
      </c>
      <c r="AA25" s="536">
        <v>0</v>
      </c>
      <c r="AB25" s="529">
        <v>0</v>
      </c>
      <c r="AC25" s="529">
        <v>0</v>
      </c>
      <c r="AD25" s="539">
        <v>0</v>
      </c>
      <c r="AE25" s="529">
        <v>0</v>
      </c>
      <c r="AF25" s="539">
        <v>0</v>
      </c>
      <c r="AG25" s="529">
        <v>0</v>
      </c>
      <c r="AH25" s="529">
        <v>0</v>
      </c>
      <c r="AI25" s="529">
        <v>0</v>
      </c>
      <c r="AJ25" s="529">
        <v>0</v>
      </c>
      <c r="AK25" s="558"/>
      <c r="AL25" s="561"/>
      <c r="AM25" s="558"/>
      <c r="AN25" s="558"/>
      <c r="AO25" s="529"/>
      <c r="AP25" s="540"/>
    </row>
    <row r="26" spans="1:42" ht="18" hidden="1" customHeight="1" x14ac:dyDescent="0.15">
      <c r="A26" s="828"/>
      <c r="B26" s="499" t="s">
        <v>285</v>
      </c>
      <c r="C26" s="505">
        <v>0</v>
      </c>
      <c r="D26" s="505">
        <v>0</v>
      </c>
      <c r="E26" s="506">
        <v>0</v>
      </c>
      <c r="F26" s="505">
        <v>0</v>
      </c>
      <c r="G26" s="505">
        <v>0</v>
      </c>
      <c r="H26" s="505">
        <v>0</v>
      </c>
      <c r="I26" s="516">
        <v>377</v>
      </c>
      <c r="J26" s="516">
        <v>188</v>
      </c>
      <c r="K26" s="516">
        <v>977</v>
      </c>
      <c r="L26" s="516">
        <v>488</v>
      </c>
      <c r="M26" s="516">
        <v>2752</v>
      </c>
      <c r="N26" s="516">
        <v>1376</v>
      </c>
      <c r="O26" s="529">
        <v>0</v>
      </c>
      <c r="P26" s="539">
        <v>0</v>
      </c>
      <c r="Q26" s="529">
        <v>1426</v>
      </c>
      <c r="R26" s="539">
        <v>713</v>
      </c>
      <c r="S26" s="529">
        <v>0</v>
      </c>
      <c r="T26" s="529">
        <v>0</v>
      </c>
      <c r="U26" s="529">
        <v>0</v>
      </c>
      <c r="V26" s="529">
        <v>0</v>
      </c>
      <c r="W26" s="511">
        <v>0</v>
      </c>
      <c r="X26" s="511">
        <v>0</v>
      </c>
      <c r="Y26" s="511">
        <v>0</v>
      </c>
      <c r="Z26" s="511">
        <v>0</v>
      </c>
      <c r="AA26" s="544">
        <v>0</v>
      </c>
      <c r="AB26" s="511">
        <v>0</v>
      </c>
      <c r="AC26" s="511">
        <v>0</v>
      </c>
      <c r="AD26" s="545">
        <v>0</v>
      </c>
      <c r="AE26" s="511">
        <v>0</v>
      </c>
      <c r="AF26" s="545">
        <v>0</v>
      </c>
      <c r="AG26" s="511">
        <v>0</v>
      </c>
      <c r="AH26" s="511">
        <v>0</v>
      </c>
      <c r="AI26" s="511">
        <v>0</v>
      </c>
      <c r="AJ26" s="511">
        <v>0</v>
      </c>
      <c r="AK26" s="562"/>
      <c r="AL26" s="563"/>
      <c r="AM26" s="562"/>
      <c r="AN26" s="562"/>
      <c r="AO26" s="511"/>
      <c r="AP26" s="564"/>
    </row>
    <row r="27" spans="1:42" ht="18" hidden="1" customHeight="1" x14ac:dyDescent="0.15">
      <c r="A27" s="565"/>
      <c r="B27" s="127" t="s">
        <v>29</v>
      </c>
      <c r="C27" s="566">
        <v>0</v>
      </c>
      <c r="D27" s="566">
        <v>0</v>
      </c>
      <c r="E27" s="567">
        <v>0</v>
      </c>
      <c r="F27" s="566">
        <v>0</v>
      </c>
      <c r="G27" s="522">
        <f>SUM(G24:G25)</f>
        <v>47689</v>
      </c>
      <c r="H27" s="522">
        <f>SUM(H24:H25)</f>
        <v>15764</v>
      </c>
      <c r="I27" s="522">
        <f t="shared" ref="I27:T27" si="3">SUM(I24:I26)</f>
        <v>39097</v>
      </c>
      <c r="J27" s="522">
        <f t="shared" si="3"/>
        <v>12980</v>
      </c>
      <c r="K27" s="522">
        <f t="shared" si="3"/>
        <v>32412</v>
      </c>
      <c r="L27" s="522">
        <f t="shared" si="3"/>
        <v>10861</v>
      </c>
      <c r="M27" s="522">
        <f t="shared" si="3"/>
        <v>28798</v>
      </c>
      <c r="N27" s="522">
        <f t="shared" si="3"/>
        <v>9961</v>
      </c>
      <c r="O27" s="510">
        <f t="shared" si="3"/>
        <v>0</v>
      </c>
      <c r="P27" s="509">
        <f t="shared" si="3"/>
        <v>0</v>
      </c>
      <c r="Q27" s="510">
        <f t="shared" si="3"/>
        <v>18595</v>
      </c>
      <c r="R27" s="509">
        <f t="shared" si="3"/>
        <v>6352</v>
      </c>
      <c r="S27" s="510">
        <f t="shared" si="3"/>
        <v>0</v>
      </c>
      <c r="T27" s="510">
        <f t="shared" si="3"/>
        <v>0</v>
      </c>
      <c r="U27" s="510">
        <v>0</v>
      </c>
      <c r="V27" s="510">
        <v>0</v>
      </c>
      <c r="W27" s="510">
        <v>0</v>
      </c>
      <c r="X27" s="510">
        <v>0</v>
      </c>
      <c r="Y27" s="510">
        <v>0</v>
      </c>
      <c r="Z27" s="510">
        <v>0</v>
      </c>
      <c r="AA27" s="548">
        <v>0</v>
      </c>
      <c r="AB27" s="510">
        <v>0</v>
      </c>
      <c r="AC27" s="510">
        <v>0</v>
      </c>
      <c r="AD27" s="509">
        <v>0</v>
      </c>
      <c r="AE27" s="510">
        <v>0</v>
      </c>
      <c r="AF27" s="509">
        <v>0</v>
      </c>
      <c r="AG27" s="510">
        <v>0</v>
      </c>
      <c r="AH27" s="510">
        <v>0</v>
      </c>
      <c r="AI27" s="510">
        <v>0</v>
      </c>
      <c r="AJ27" s="510">
        <v>0</v>
      </c>
      <c r="AK27" s="568"/>
      <c r="AL27" s="569"/>
      <c r="AM27" s="568"/>
      <c r="AN27" s="568"/>
      <c r="AO27" s="510"/>
      <c r="AP27" s="550"/>
    </row>
    <row r="28" spans="1:42" ht="18" customHeight="1" x14ac:dyDescent="0.15">
      <c r="A28" s="570" t="s">
        <v>286</v>
      </c>
      <c r="B28" s="571"/>
      <c r="C28" s="572"/>
      <c r="D28" s="572"/>
      <c r="E28" s="573"/>
      <c r="F28" s="572"/>
      <c r="G28" s="572"/>
      <c r="H28" s="572"/>
      <c r="I28" s="572"/>
      <c r="J28" s="572"/>
      <c r="K28" s="572"/>
      <c r="L28" s="572"/>
      <c r="M28" s="572"/>
      <c r="N28" s="572"/>
      <c r="O28" s="572"/>
      <c r="P28" s="573"/>
      <c r="Q28" s="572"/>
      <c r="R28" s="573"/>
      <c r="S28" s="572"/>
      <c r="T28" s="572"/>
      <c r="U28" s="572"/>
      <c r="V28" s="572"/>
      <c r="W28" s="572"/>
      <c r="X28" s="574"/>
      <c r="Y28" s="572"/>
      <c r="Z28" s="574"/>
      <c r="AA28" s="574"/>
      <c r="AB28" s="574"/>
      <c r="AC28" s="572"/>
      <c r="AD28" s="168"/>
      <c r="AE28" s="572"/>
      <c r="AF28" s="168"/>
      <c r="AG28" s="572"/>
      <c r="AH28" s="574"/>
      <c r="AI28" s="572"/>
      <c r="AJ28" s="575"/>
      <c r="AK28" s="572"/>
      <c r="AL28" s="576"/>
      <c r="AM28" s="572"/>
      <c r="AN28" s="575"/>
      <c r="AO28" s="572"/>
      <c r="AP28" s="577"/>
    </row>
    <row r="29" spans="1:42" ht="18" customHeight="1" x14ac:dyDescent="0.15">
      <c r="A29" s="578" t="s">
        <v>287</v>
      </c>
      <c r="B29" s="579" t="s">
        <v>288</v>
      </c>
      <c r="C29" s="573">
        <v>101290</v>
      </c>
      <c r="D29" s="572">
        <v>16882</v>
      </c>
      <c r="E29" s="573">
        <v>137057</v>
      </c>
      <c r="F29" s="572">
        <v>22842</v>
      </c>
      <c r="G29" s="572">
        <v>122867</v>
      </c>
      <c r="H29" s="572">
        <v>20478</v>
      </c>
      <c r="I29" s="572">
        <v>293210</v>
      </c>
      <c r="J29" s="572">
        <v>48868</v>
      </c>
      <c r="K29" s="572">
        <v>319808</v>
      </c>
      <c r="L29" s="572">
        <v>53300</v>
      </c>
      <c r="M29" s="572">
        <v>227028</v>
      </c>
      <c r="N29" s="572">
        <v>37838</v>
      </c>
      <c r="O29" s="572">
        <v>892333</v>
      </c>
      <c r="P29" s="573">
        <v>148722</v>
      </c>
      <c r="Q29" s="572">
        <v>655596</v>
      </c>
      <c r="R29" s="573">
        <v>109266</v>
      </c>
      <c r="S29" s="572">
        <v>495647</v>
      </c>
      <c r="T29" s="572">
        <v>82608</v>
      </c>
      <c r="U29" s="572">
        <v>383520</v>
      </c>
      <c r="V29" s="572">
        <v>63920</v>
      </c>
      <c r="W29" s="572">
        <v>310328</v>
      </c>
      <c r="X29" s="574">
        <v>51721</v>
      </c>
      <c r="Y29" s="572">
        <v>255050</v>
      </c>
      <c r="Z29" s="574">
        <v>42508</v>
      </c>
      <c r="AA29" s="574">
        <v>224841</v>
      </c>
      <c r="AB29" s="574">
        <v>37322</v>
      </c>
      <c r="AC29" s="572">
        <v>207697</v>
      </c>
      <c r="AD29" s="168">
        <v>34616</v>
      </c>
      <c r="AE29" s="572">
        <v>196044</v>
      </c>
      <c r="AF29" s="168">
        <v>32674</v>
      </c>
      <c r="AG29" s="572">
        <v>185731</v>
      </c>
      <c r="AH29" s="574">
        <v>30955</v>
      </c>
      <c r="AI29" s="572">
        <v>173458</v>
      </c>
      <c r="AJ29" s="572">
        <v>28910</v>
      </c>
      <c r="AK29" s="572">
        <v>162834</v>
      </c>
      <c r="AL29" s="573">
        <v>27208</v>
      </c>
      <c r="AM29" s="572">
        <v>163901</v>
      </c>
      <c r="AN29" s="572">
        <v>27317</v>
      </c>
      <c r="AO29" s="572">
        <v>159056</v>
      </c>
      <c r="AP29" s="580">
        <v>26518</v>
      </c>
    </row>
    <row r="30" spans="1:42" ht="18" customHeight="1" x14ac:dyDescent="0.15">
      <c r="A30" s="581"/>
      <c r="B30" s="579" t="s">
        <v>289</v>
      </c>
      <c r="C30" s="572"/>
      <c r="D30" s="572"/>
      <c r="E30" s="573"/>
      <c r="F30" s="572"/>
      <c r="G30" s="572"/>
      <c r="H30" s="572"/>
      <c r="I30" s="572"/>
      <c r="J30" s="572"/>
      <c r="K30" s="582">
        <v>0</v>
      </c>
      <c r="L30" s="582">
        <v>0</v>
      </c>
      <c r="M30" s="582">
        <v>0</v>
      </c>
      <c r="N30" s="582">
        <v>0</v>
      </c>
      <c r="O30" s="582">
        <v>0</v>
      </c>
      <c r="P30" s="582">
        <v>0</v>
      </c>
      <c r="Q30" s="572">
        <v>1461</v>
      </c>
      <c r="R30" s="573">
        <v>487</v>
      </c>
      <c r="S30" s="572">
        <v>5744</v>
      </c>
      <c r="T30" s="572">
        <v>1915</v>
      </c>
      <c r="U30" s="572">
        <v>35576</v>
      </c>
      <c r="V30" s="572">
        <v>11859</v>
      </c>
      <c r="W30" s="572">
        <v>27567</v>
      </c>
      <c r="X30" s="574">
        <v>9189</v>
      </c>
      <c r="Y30" s="572">
        <v>32017</v>
      </c>
      <c r="Z30" s="574">
        <v>10672</v>
      </c>
      <c r="AA30" s="574">
        <v>28866</v>
      </c>
      <c r="AB30" s="574">
        <v>9622</v>
      </c>
      <c r="AC30" s="572">
        <v>19524</v>
      </c>
      <c r="AD30" s="168">
        <v>6508</v>
      </c>
      <c r="AE30" s="572">
        <v>12196</v>
      </c>
      <c r="AF30" s="168">
        <v>4065</v>
      </c>
      <c r="AG30" s="572">
        <v>6124</v>
      </c>
      <c r="AH30" s="574">
        <v>2041</v>
      </c>
      <c r="AI30" s="572">
        <v>5523</v>
      </c>
      <c r="AJ30" s="572">
        <v>1841</v>
      </c>
      <c r="AK30" s="572">
        <v>5260</v>
      </c>
      <c r="AL30" s="573">
        <v>1753</v>
      </c>
      <c r="AM30" s="572">
        <v>4992</v>
      </c>
      <c r="AN30" s="572">
        <v>1664</v>
      </c>
      <c r="AO30" s="572">
        <v>4835</v>
      </c>
      <c r="AP30" s="580">
        <v>1612</v>
      </c>
    </row>
    <row r="31" spans="1:42" ht="24.75" customHeight="1" x14ac:dyDescent="0.15">
      <c r="A31" s="581"/>
      <c r="B31" s="583" t="s">
        <v>290</v>
      </c>
      <c r="C31" s="572"/>
      <c r="D31" s="572"/>
      <c r="E31" s="573"/>
      <c r="F31" s="572"/>
      <c r="G31" s="572"/>
      <c r="H31" s="572"/>
      <c r="I31" s="572"/>
      <c r="J31" s="572"/>
      <c r="K31" s="582">
        <v>0</v>
      </c>
      <c r="L31" s="582">
        <v>0</v>
      </c>
      <c r="M31" s="582">
        <v>0</v>
      </c>
      <c r="N31" s="582">
        <v>0</v>
      </c>
      <c r="O31" s="582">
        <v>0</v>
      </c>
      <c r="P31" s="582">
        <v>0</v>
      </c>
      <c r="Q31" s="582">
        <v>0</v>
      </c>
      <c r="R31" s="582">
        <v>0</v>
      </c>
      <c r="S31" s="582">
        <v>0</v>
      </c>
      <c r="T31" s="582">
        <v>0</v>
      </c>
      <c r="U31" s="582">
        <v>0</v>
      </c>
      <c r="V31" s="582">
        <v>0</v>
      </c>
      <c r="W31" s="582">
        <v>0</v>
      </c>
      <c r="X31" s="582">
        <v>0</v>
      </c>
      <c r="Y31" s="572">
        <v>1095</v>
      </c>
      <c r="Z31" s="574">
        <v>365</v>
      </c>
      <c r="AA31" s="574">
        <v>980</v>
      </c>
      <c r="AB31" s="574">
        <v>327</v>
      </c>
      <c r="AC31" s="572">
        <v>852</v>
      </c>
      <c r="AD31" s="168">
        <v>284</v>
      </c>
      <c r="AE31" s="572">
        <v>3158</v>
      </c>
      <c r="AF31" s="168">
        <v>1053</v>
      </c>
      <c r="AG31" s="572">
        <v>104476</v>
      </c>
      <c r="AH31" s="574">
        <v>50922</v>
      </c>
      <c r="AI31" s="572">
        <v>113576</v>
      </c>
      <c r="AJ31" s="572">
        <v>56788</v>
      </c>
      <c r="AK31" s="572">
        <v>130242</v>
      </c>
      <c r="AL31" s="573">
        <v>65121</v>
      </c>
      <c r="AM31" s="572">
        <v>99323</v>
      </c>
      <c r="AN31" s="572">
        <v>49662</v>
      </c>
      <c r="AO31" s="572">
        <v>80354</v>
      </c>
      <c r="AP31" s="580">
        <v>40177</v>
      </c>
    </row>
    <row r="32" spans="1:42" ht="17.25" hidden="1" customHeight="1" x14ac:dyDescent="0.15">
      <c r="A32" s="581" t="s">
        <v>291</v>
      </c>
      <c r="B32" s="579" t="s">
        <v>292</v>
      </c>
      <c r="C32" s="584"/>
      <c r="D32" s="584"/>
      <c r="E32" s="585">
        <v>0</v>
      </c>
      <c r="F32" s="584">
        <v>0</v>
      </c>
      <c r="G32" s="584">
        <v>0</v>
      </c>
      <c r="H32" s="584">
        <v>0</v>
      </c>
      <c r="I32" s="585">
        <v>0</v>
      </c>
      <c r="J32" s="584">
        <v>0</v>
      </c>
      <c r="K32" s="582">
        <v>0</v>
      </c>
      <c r="L32" s="582">
        <v>0</v>
      </c>
      <c r="M32" s="582">
        <v>389</v>
      </c>
      <c r="N32" s="582">
        <v>259</v>
      </c>
      <c r="O32" s="582">
        <v>0</v>
      </c>
      <c r="P32" s="586">
        <v>0</v>
      </c>
      <c r="Q32" s="582">
        <v>0</v>
      </c>
      <c r="R32" s="586">
        <v>0</v>
      </c>
      <c r="S32" s="582">
        <v>0</v>
      </c>
      <c r="T32" s="582">
        <v>0</v>
      </c>
      <c r="U32" s="582">
        <v>0</v>
      </c>
      <c r="V32" s="582">
        <v>0</v>
      </c>
      <c r="W32" s="582">
        <v>0</v>
      </c>
      <c r="X32" s="582">
        <v>0</v>
      </c>
      <c r="Y32" s="582">
        <v>0</v>
      </c>
      <c r="Z32" s="582">
        <v>0</v>
      </c>
      <c r="AA32" s="587">
        <v>0</v>
      </c>
      <c r="AB32" s="582">
        <v>0</v>
      </c>
      <c r="AC32" s="582">
        <v>0</v>
      </c>
      <c r="AD32" s="586">
        <v>0</v>
      </c>
      <c r="AE32" s="582">
        <v>0</v>
      </c>
      <c r="AF32" s="586">
        <v>0</v>
      </c>
      <c r="AG32" s="582"/>
      <c r="AH32" s="582"/>
      <c r="AI32" s="582"/>
      <c r="AJ32" s="582"/>
      <c r="AK32" s="582"/>
      <c r="AL32" s="586"/>
      <c r="AM32" s="582"/>
      <c r="AN32" s="582"/>
      <c r="AO32" s="582"/>
      <c r="AP32" s="588"/>
    </row>
    <row r="33" spans="1:42" ht="17.25" customHeight="1" x14ac:dyDescent="0.15">
      <c r="A33" s="578" t="s">
        <v>293</v>
      </c>
      <c r="B33" s="579" t="s">
        <v>294</v>
      </c>
      <c r="C33" s="584"/>
      <c r="D33" s="584"/>
      <c r="E33" s="585"/>
      <c r="F33" s="584"/>
      <c r="G33" s="584"/>
      <c r="H33" s="584"/>
      <c r="I33" s="585"/>
      <c r="J33" s="584"/>
      <c r="K33" s="582"/>
      <c r="L33" s="582"/>
      <c r="M33" s="582"/>
      <c r="N33" s="582"/>
      <c r="O33" s="582"/>
      <c r="P33" s="586"/>
      <c r="Q33" s="582"/>
      <c r="R33" s="586"/>
      <c r="S33" s="582"/>
      <c r="T33" s="582"/>
      <c r="U33" s="582"/>
      <c r="V33" s="582"/>
      <c r="W33" s="582"/>
      <c r="X33" s="582"/>
      <c r="Y33" s="582"/>
      <c r="Z33" s="582"/>
      <c r="AA33" s="587"/>
      <c r="AB33" s="582"/>
      <c r="AC33" s="582"/>
      <c r="AD33" s="586"/>
      <c r="AE33" s="582"/>
      <c r="AF33" s="586"/>
      <c r="AG33" s="582">
        <v>0</v>
      </c>
      <c r="AH33" s="582">
        <v>0</v>
      </c>
      <c r="AI33" s="582">
        <v>0</v>
      </c>
      <c r="AJ33" s="582">
        <v>0</v>
      </c>
      <c r="AK33" s="582">
        <v>0</v>
      </c>
      <c r="AL33" s="586">
        <v>0</v>
      </c>
      <c r="AM33" s="582">
        <v>0</v>
      </c>
      <c r="AN33" s="586">
        <v>0</v>
      </c>
      <c r="AO33" s="582">
        <v>62618</v>
      </c>
      <c r="AP33" s="588">
        <v>41746</v>
      </c>
    </row>
    <row r="34" spans="1:42" ht="17.25" customHeight="1" x14ac:dyDescent="0.15">
      <c r="A34" s="578" t="s">
        <v>295</v>
      </c>
      <c r="B34" s="579" t="s">
        <v>217</v>
      </c>
      <c r="C34" s="584"/>
      <c r="D34" s="584"/>
      <c r="E34" s="585">
        <v>0</v>
      </c>
      <c r="F34" s="584">
        <v>0</v>
      </c>
      <c r="G34" s="584">
        <v>0</v>
      </c>
      <c r="H34" s="584">
        <v>0</v>
      </c>
      <c r="I34" s="585">
        <v>0</v>
      </c>
      <c r="J34" s="584">
        <v>0</v>
      </c>
      <c r="K34" s="582">
        <v>0</v>
      </c>
      <c r="L34" s="582">
        <v>0</v>
      </c>
      <c r="M34" s="582">
        <v>0</v>
      </c>
      <c r="N34" s="582">
        <v>0</v>
      </c>
      <c r="O34" s="582">
        <v>0</v>
      </c>
      <c r="P34" s="586">
        <v>0</v>
      </c>
      <c r="Q34" s="582">
        <v>0</v>
      </c>
      <c r="R34" s="586">
        <v>0</v>
      </c>
      <c r="S34" s="582">
        <v>0</v>
      </c>
      <c r="T34" s="582">
        <v>0</v>
      </c>
      <c r="U34" s="582">
        <v>0</v>
      </c>
      <c r="V34" s="582">
        <v>0</v>
      </c>
      <c r="W34" s="582">
        <v>0</v>
      </c>
      <c r="X34" s="582">
        <v>0</v>
      </c>
      <c r="Y34" s="582">
        <v>0</v>
      </c>
      <c r="Z34" s="582">
        <v>0</v>
      </c>
      <c r="AA34" s="587">
        <v>0</v>
      </c>
      <c r="AB34" s="582">
        <v>0</v>
      </c>
      <c r="AC34" s="582">
        <v>0</v>
      </c>
      <c r="AD34" s="586">
        <v>0</v>
      </c>
      <c r="AE34" s="582">
        <v>21205</v>
      </c>
      <c r="AF34" s="586">
        <v>10602</v>
      </c>
      <c r="AG34" s="582">
        <v>124779</v>
      </c>
      <c r="AH34" s="582">
        <v>62390</v>
      </c>
      <c r="AI34" s="582">
        <v>146700</v>
      </c>
      <c r="AJ34" s="582">
        <v>73350</v>
      </c>
      <c r="AK34" s="582">
        <v>118504</v>
      </c>
      <c r="AL34" s="586">
        <v>59252</v>
      </c>
      <c r="AM34" s="582">
        <v>132861</v>
      </c>
      <c r="AN34" s="582">
        <v>66431</v>
      </c>
      <c r="AO34" s="582">
        <v>78786</v>
      </c>
      <c r="AP34" s="588">
        <v>39393</v>
      </c>
    </row>
    <row r="35" spans="1:42" ht="17.25" hidden="1" customHeight="1" x14ac:dyDescent="0.15">
      <c r="A35" s="581" t="s">
        <v>296</v>
      </c>
      <c r="B35" s="579" t="s">
        <v>297</v>
      </c>
      <c r="C35" s="584"/>
      <c r="D35" s="584"/>
      <c r="E35" s="585"/>
      <c r="F35" s="584"/>
      <c r="G35" s="584"/>
      <c r="H35" s="584"/>
      <c r="I35" s="585"/>
      <c r="J35" s="584"/>
      <c r="K35" s="582"/>
      <c r="L35" s="582"/>
      <c r="M35" s="582"/>
      <c r="N35" s="582"/>
      <c r="O35" s="582"/>
      <c r="P35" s="586"/>
      <c r="Q35" s="582"/>
      <c r="R35" s="586"/>
      <c r="S35" s="582"/>
      <c r="T35" s="582"/>
      <c r="U35" s="582"/>
      <c r="V35" s="582"/>
      <c r="W35" s="582"/>
      <c r="X35" s="587"/>
      <c r="Y35" s="582">
        <v>0</v>
      </c>
      <c r="Z35" s="587">
        <v>0</v>
      </c>
      <c r="AA35" s="587">
        <v>0</v>
      </c>
      <c r="AB35" s="582">
        <v>0</v>
      </c>
      <c r="AC35" s="582">
        <v>0</v>
      </c>
      <c r="AD35" s="589">
        <v>0</v>
      </c>
      <c r="AE35" s="582">
        <v>0</v>
      </c>
      <c r="AF35" s="589">
        <v>0</v>
      </c>
      <c r="AG35" s="582">
        <v>624950</v>
      </c>
      <c r="AH35" s="587">
        <v>0</v>
      </c>
      <c r="AI35" s="582">
        <v>2267427</v>
      </c>
      <c r="AJ35" s="582">
        <v>0</v>
      </c>
      <c r="AK35" s="590" t="s">
        <v>165</v>
      </c>
      <c r="AL35" s="591" t="s">
        <v>165</v>
      </c>
      <c r="AM35" s="590" t="s">
        <v>165</v>
      </c>
      <c r="AN35" s="590" t="s">
        <v>165</v>
      </c>
      <c r="AO35" s="590"/>
      <c r="AP35" s="592"/>
    </row>
    <row r="36" spans="1:42" ht="18" customHeight="1" x14ac:dyDescent="0.15">
      <c r="A36" s="581" t="s">
        <v>286</v>
      </c>
      <c r="B36" s="579"/>
      <c r="C36" s="572"/>
      <c r="D36" s="572"/>
      <c r="E36" s="573"/>
      <c r="F36" s="572"/>
      <c r="G36" s="582"/>
      <c r="H36" s="582"/>
      <c r="I36" s="582"/>
      <c r="J36" s="582"/>
      <c r="K36" s="582"/>
      <c r="L36" s="582"/>
      <c r="M36" s="582"/>
      <c r="N36" s="582"/>
      <c r="O36" s="582"/>
      <c r="P36" s="586"/>
      <c r="Q36" s="582"/>
      <c r="R36" s="586"/>
      <c r="S36" s="582"/>
      <c r="T36" s="582"/>
      <c r="U36" s="582"/>
      <c r="V36" s="582"/>
      <c r="W36" s="572"/>
      <c r="X36" s="574"/>
      <c r="Y36" s="572"/>
      <c r="Z36" s="574"/>
      <c r="AA36" s="574"/>
      <c r="AB36" s="572"/>
      <c r="AC36" s="572"/>
      <c r="AD36" s="168"/>
      <c r="AE36" s="572"/>
      <c r="AF36" s="168"/>
      <c r="AG36" s="572"/>
      <c r="AH36" s="574"/>
      <c r="AI36" s="572"/>
      <c r="AJ36" s="572"/>
      <c r="AK36" s="572"/>
      <c r="AL36" s="573"/>
      <c r="AM36" s="572"/>
      <c r="AN36" s="572"/>
      <c r="AO36" s="572"/>
      <c r="AP36" s="580"/>
    </row>
    <row r="37" spans="1:42" ht="18" hidden="1" customHeight="1" x14ac:dyDescent="0.15">
      <c r="A37" s="581" t="s">
        <v>298</v>
      </c>
      <c r="B37" s="579" t="s">
        <v>299</v>
      </c>
      <c r="C37" s="572">
        <v>18794</v>
      </c>
      <c r="D37" s="572">
        <v>12530</v>
      </c>
      <c r="E37" s="573">
        <v>4914</v>
      </c>
      <c r="F37" s="572">
        <v>3276</v>
      </c>
      <c r="G37" s="582">
        <v>0</v>
      </c>
      <c r="H37" s="582">
        <v>0</v>
      </c>
      <c r="I37" s="582">
        <v>0</v>
      </c>
      <c r="J37" s="582">
        <v>0</v>
      </c>
      <c r="K37" s="582">
        <v>0</v>
      </c>
      <c r="L37" s="582">
        <v>0</v>
      </c>
      <c r="M37" s="582">
        <v>0</v>
      </c>
      <c r="N37" s="582">
        <v>0</v>
      </c>
      <c r="O37" s="582">
        <v>0</v>
      </c>
      <c r="P37" s="586">
        <v>0</v>
      </c>
      <c r="Q37" s="582">
        <v>0</v>
      </c>
      <c r="R37" s="586">
        <v>0</v>
      </c>
      <c r="S37" s="582">
        <v>0</v>
      </c>
      <c r="T37" s="582">
        <v>0</v>
      </c>
      <c r="U37" s="582"/>
      <c r="V37" s="582"/>
      <c r="W37" s="572"/>
      <c r="X37" s="574"/>
      <c r="Y37" s="572"/>
      <c r="Z37" s="574"/>
      <c r="AA37" s="574"/>
      <c r="AB37" s="574"/>
      <c r="AC37" s="572"/>
      <c r="AD37" s="168"/>
      <c r="AE37" s="572"/>
      <c r="AF37" s="168"/>
      <c r="AG37" s="572"/>
      <c r="AH37" s="574"/>
      <c r="AI37" s="572"/>
      <c r="AJ37" s="572"/>
      <c r="AK37" s="572"/>
      <c r="AL37" s="573"/>
      <c r="AM37" s="572"/>
      <c r="AN37" s="572"/>
      <c r="AO37" s="572"/>
      <c r="AP37" s="580"/>
    </row>
    <row r="38" spans="1:42" ht="18" hidden="1" customHeight="1" x14ac:dyDescent="0.15">
      <c r="A38" s="581" t="s">
        <v>300</v>
      </c>
      <c r="B38" s="579" t="s">
        <v>301</v>
      </c>
      <c r="C38" s="572"/>
      <c r="D38" s="572"/>
      <c r="E38" s="573"/>
      <c r="F38" s="572"/>
      <c r="G38" s="582">
        <v>0</v>
      </c>
      <c r="H38" s="582">
        <v>0</v>
      </c>
      <c r="I38" s="582">
        <v>0</v>
      </c>
      <c r="J38" s="582">
        <v>0</v>
      </c>
      <c r="K38" s="582">
        <v>0</v>
      </c>
      <c r="L38" s="582">
        <v>0</v>
      </c>
      <c r="M38" s="582">
        <v>0</v>
      </c>
      <c r="N38" s="582">
        <v>0</v>
      </c>
      <c r="O38" s="582">
        <v>61841</v>
      </c>
      <c r="P38" s="586">
        <v>20614</v>
      </c>
      <c r="Q38" s="582">
        <v>42088</v>
      </c>
      <c r="R38" s="586">
        <v>14029</v>
      </c>
      <c r="S38" s="582">
        <v>28645</v>
      </c>
      <c r="T38" s="582">
        <v>9548</v>
      </c>
      <c r="U38" s="582">
        <v>0</v>
      </c>
      <c r="V38" s="582">
        <v>0</v>
      </c>
      <c r="W38" s="582">
        <v>0</v>
      </c>
      <c r="X38" s="582">
        <v>0</v>
      </c>
      <c r="Y38" s="582">
        <v>0</v>
      </c>
      <c r="Z38" s="582">
        <v>0</v>
      </c>
      <c r="AA38" s="587">
        <v>0</v>
      </c>
      <c r="AB38" s="582">
        <v>0</v>
      </c>
      <c r="AC38" s="582">
        <v>0</v>
      </c>
      <c r="AD38" s="586">
        <v>0</v>
      </c>
      <c r="AE38" s="582">
        <v>0</v>
      </c>
      <c r="AF38" s="586">
        <v>0</v>
      </c>
      <c r="AG38" s="582">
        <v>0</v>
      </c>
      <c r="AH38" s="582">
        <v>0</v>
      </c>
      <c r="AI38" s="582">
        <v>0</v>
      </c>
      <c r="AJ38" s="582">
        <v>0</v>
      </c>
      <c r="AK38" s="582"/>
      <c r="AL38" s="586"/>
      <c r="AM38" s="582"/>
      <c r="AN38" s="582"/>
      <c r="AO38" s="582"/>
      <c r="AP38" s="588"/>
    </row>
    <row r="39" spans="1:42" ht="18" customHeight="1" x14ac:dyDescent="0.15">
      <c r="A39" s="581" t="s">
        <v>302</v>
      </c>
      <c r="B39" s="579" t="s">
        <v>303</v>
      </c>
      <c r="C39" s="572"/>
      <c r="D39" s="572"/>
      <c r="E39" s="573"/>
      <c r="F39" s="572"/>
      <c r="G39" s="582"/>
      <c r="H39" s="582"/>
      <c r="I39" s="582"/>
      <c r="J39" s="582"/>
      <c r="K39" s="582"/>
      <c r="L39" s="582"/>
      <c r="M39" s="582"/>
      <c r="N39" s="582"/>
      <c r="O39" s="582"/>
      <c r="P39" s="586"/>
      <c r="Q39" s="582"/>
      <c r="R39" s="586"/>
      <c r="S39" s="582"/>
      <c r="T39" s="582"/>
      <c r="U39" s="582"/>
      <c r="V39" s="582"/>
      <c r="W39" s="582"/>
      <c r="X39" s="582"/>
      <c r="Y39" s="582"/>
      <c r="Z39" s="582"/>
      <c r="AA39" s="582">
        <v>0</v>
      </c>
      <c r="AB39" s="582">
        <v>0</v>
      </c>
      <c r="AC39" s="582">
        <v>0</v>
      </c>
      <c r="AD39" s="582">
        <v>0</v>
      </c>
      <c r="AE39" s="582">
        <v>0</v>
      </c>
      <c r="AF39" s="582">
        <v>0</v>
      </c>
      <c r="AG39" s="582">
        <v>0</v>
      </c>
      <c r="AH39" s="582">
        <v>0</v>
      </c>
      <c r="AI39" s="582">
        <v>4862</v>
      </c>
      <c r="AJ39" s="582">
        <v>1621</v>
      </c>
      <c r="AK39" s="582">
        <v>2896</v>
      </c>
      <c r="AL39" s="586">
        <v>965</v>
      </c>
      <c r="AM39" s="582">
        <v>1925</v>
      </c>
      <c r="AN39" s="582">
        <v>642</v>
      </c>
      <c r="AO39" s="582">
        <v>1495</v>
      </c>
      <c r="AP39" s="588">
        <v>498</v>
      </c>
    </row>
    <row r="40" spans="1:42" ht="18" hidden="1" customHeight="1" x14ac:dyDescent="0.15">
      <c r="A40" s="581" t="s">
        <v>304</v>
      </c>
      <c r="B40" s="579" t="s">
        <v>305</v>
      </c>
      <c r="C40" s="572">
        <v>0</v>
      </c>
      <c r="D40" s="572">
        <v>0</v>
      </c>
      <c r="E40" s="573">
        <v>125020</v>
      </c>
      <c r="F40" s="572">
        <v>93765</v>
      </c>
      <c r="G40" s="582">
        <v>297406</v>
      </c>
      <c r="H40" s="582">
        <v>223064</v>
      </c>
      <c r="I40" s="582">
        <v>264041</v>
      </c>
      <c r="J40" s="582">
        <v>198958</v>
      </c>
      <c r="K40" s="582">
        <v>259715</v>
      </c>
      <c r="L40" s="582">
        <v>194786</v>
      </c>
      <c r="M40" s="582">
        <v>875121</v>
      </c>
      <c r="N40" s="582">
        <v>656341</v>
      </c>
      <c r="O40" s="582">
        <v>607457</v>
      </c>
      <c r="P40" s="586">
        <v>455593</v>
      </c>
      <c r="Q40" s="582">
        <v>434827</v>
      </c>
      <c r="R40" s="586">
        <v>326120</v>
      </c>
      <c r="S40" s="582">
        <v>312105</v>
      </c>
      <c r="T40" s="582">
        <v>234079</v>
      </c>
      <c r="U40" s="582">
        <v>64682</v>
      </c>
      <c r="V40" s="582">
        <v>48512</v>
      </c>
      <c r="W40" s="582">
        <v>43467</v>
      </c>
      <c r="X40" s="582">
        <v>32600</v>
      </c>
      <c r="Y40" s="582">
        <v>35794</v>
      </c>
      <c r="Z40" s="582">
        <v>26846</v>
      </c>
      <c r="AA40" s="587">
        <v>1174</v>
      </c>
      <c r="AB40" s="582">
        <v>881</v>
      </c>
      <c r="AC40" s="582">
        <v>0</v>
      </c>
      <c r="AD40" s="586">
        <v>0</v>
      </c>
      <c r="AE40" s="582">
        <v>0</v>
      </c>
      <c r="AF40" s="586">
        <v>0</v>
      </c>
      <c r="AG40" s="582">
        <v>0</v>
      </c>
      <c r="AH40" s="582">
        <v>0</v>
      </c>
      <c r="AI40" s="582">
        <v>0</v>
      </c>
      <c r="AJ40" s="582">
        <v>0</v>
      </c>
      <c r="AK40" s="582">
        <v>0</v>
      </c>
      <c r="AL40" s="586">
        <v>0</v>
      </c>
      <c r="AM40" s="582">
        <v>0</v>
      </c>
      <c r="AN40" s="582">
        <v>0</v>
      </c>
      <c r="AO40" s="582"/>
      <c r="AP40" s="588"/>
    </row>
    <row r="41" spans="1:42" ht="18" hidden="1" customHeight="1" x14ac:dyDescent="0.15">
      <c r="A41" s="581"/>
      <c r="B41" s="579" t="s">
        <v>306</v>
      </c>
      <c r="C41" s="572"/>
      <c r="D41" s="572"/>
      <c r="E41" s="573"/>
      <c r="F41" s="572"/>
      <c r="G41" s="582"/>
      <c r="H41" s="582"/>
      <c r="I41" s="582"/>
      <c r="J41" s="582"/>
      <c r="K41" s="582"/>
      <c r="L41" s="582"/>
      <c r="M41" s="582">
        <v>0</v>
      </c>
      <c r="N41" s="582">
        <v>0</v>
      </c>
      <c r="O41" s="582">
        <v>0</v>
      </c>
      <c r="P41" s="586">
        <v>0</v>
      </c>
      <c r="Q41" s="582">
        <v>0</v>
      </c>
      <c r="R41" s="586">
        <v>0</v>
      </c>
      <c r="S41" s="582">
        <v>0</v>
      </c>
      <c r="T41" s="582">
        <v>0</v>
      </c>
      <c r="U41" s="582">
        <v>11042</v>
      </c>
      <c r="V41" s="582">
        <v>8833</v>
      </c>
      <c r="W41" s="582">
        <v>5547</v>
      </c>
      <c r="X41" s="582">
        <v>4438</v>
      </c>
      <c r="Y41" s="582">
        <v>3504</v>
      </c>
      <c r="Z41" s="582">
        <v>2803</v>
      </c>
      <c r="AA41" s="587">
        <v>2386</v>
      </c>
      <c r="AB41" s="582">
        <v>1909</v>
      </c>
      <c r="AC41" s="582">
        <v>1625</v>
      </c>
      <c r="AD41" s="586">
        <v>1300</v>
      </c>
      <c r="AE41" s="582">
        <v>0</v>
      </c>
      <c r="AF41" s="586">
        <v>0</v>
      </c>
      <c r="AG41" s="582">
        <v>0</v>
      </c>
      <c r="AH41" s="582">
        <v>0</v>
      </c>
      <c r="AI41" s="582">
        <v>0</v>
      </c>
      <c r="AJ41" s="582">
        <v>0</v>
      </c>
      <c r="AK41" s="582">
        <v>0</v>
      </c>
      <c r="AL41" s="586">
        <v>0</v>
      </c>
      <c r="AM41" s="582">
        <v>0</v>
      </c>
      <c r="AN41" s="582">
        <v>0</v>
      </c>
      <c r="AO41" s="582"/>
      <c r="AP41" s="588"/>
    </row>
    <row r="42" spans="1:42" ht="18" hidden="1" customHeight="1" x14ac:dyDescent="0.15">
      <c r="A42" s="581" t="s">
        <v>307</v>
      </c>
      <c r="B42" s="579" t="s">
        <v>308</v>
      </c>
      <c r="C42" s="572">
        <v>34550</v>
      </c>
      <c r="D42" s="572">
        <v>28791</v>
      </c>
      <c r="E42" s="573">
        <v>31241</v>
      </c>
      <c r="F42" s="572">
        <v>26034</v>
      </c>
      <c r="G42" s="572">
        <v>22725</v>
      </c>
      <c r="H42" s="572">
        <v>18937</v>
      </c>
      <c r="I42" s="572">
        <v>15435</v>
      </c>
      <c r="J42" s="572">
        <v>12863</v>
      </c>
      <c r="K42" s="572">
        <v>5463</v>
      </c>
      <c r="L42" s="572">
        <v>4553</v>
      </c>
      <c r="M42" s="582">
        <v>0</v>
      </c>
      <c r="N42" s="582">
        <v>0</v>
      </c>
      <c r="O42" s="582">
        <v>0</v>
      </c>
      <c r="P42" s="582">
        <v>0</v>
      </c>
      <c r="Q42" s="582">
        <v>0</v>
      </c>
      <c r="R42" s="582">
        <v>0</v>
      </c>
      <c r="S42" s="582">
        <v>0</v>
      </c>
      <c r="T42" s="582">
        <v>0</v>
      </c>
      <c r="U42" s="582">
        <v>0</v>
      </c>
      <c r="V42" s="582">
        <v>0</v>
      </c>
      <c r="W42" s="582">
        <v>0</v>
      </c>
      <c r="X42" s="582">
        <v>0</v>
      </c>
      <c r="Y42" s="582">
        <v>0</v>
      </c>
      <c r="Z42" s="582">
        <v>0</v>
      </c>
      <c r="AA42" s="587">
        <v>0</v>
      </c>
      <c r="AB42" s="582">
        <v>0</v>
      </c>
      <c r="AC42" s="582">
        <v>0</v>
      </c>
      <c r="AD42" s="586">
        <v>0</v>
      </c>
      <c r="AE42" s="582">
        <v>0</v>
      </c>
      <c r="AF42" s="586">
        <v>0</v>
      </c>
      <c r="AG42" s="582">
        <v>0</v>
      </c>
      <c r="AH42" s="582">
        <v>0</v>
      </c>
      <c r="AI42" s="582">
        <v>0</v>
      </c>
      <c r="AJ42" s="582">
        <v>0</v>
      </c>
      <c r="AK42" s="582"/>
      <c r="AL42" s="586"/>
      <c r="AM42" s="582"/>
      <c r="AN42" s="582"/>
      <c r="AO42" s="582"/>
      <c r="AP42" s="588"/>
    </row>
    <row r="43" spans="1:42" ht="18" hidden="1" customHeight="1" x14ac:dyDescent="0.15">
      <c r="A43" s="581" t="s">
        <v>309</v>
      </c>
      <c r="B43" s="579" t="s">
        <v>310</v>
      </c>
      <c r="C43" s="586">
        <v>2742</v>
      </c>
      <c r="D43" s="582">
        <v>2285</v>
      </c>
      <c r="E43" s="586">
        <v>47911</v>
      </c>
      <c r="F43" s="582">
        <v>39926</v>
      </c>
      <c r="G43" s="572">
        <v>34082</v>
      </c>
      <c r="H43" s="572">
        <v>28402</v>
      </c>
      <c r="I43" s="572">
        <v>24239</v>
      </c>
      <c r="J43" s="572">
        <v>20199</v>
      </c>
      <c r="K43" s="572">
        <v>15283</v>
      </c>
      <c r="L43" s="572">
        <v>12736</v>
      </c>
      <c r="M43" s="572">
        <v>5697</v>
      </c>
      <c r="N43" s="572">
        <v>4747</v>
      </c>
      <c r="O43" s="582">
        <v>0</v>
      </c>
      <c r="P43" s="586">
        <v>0</v>
      </c>
      <c r="Q43" s="582">
        <v>0</v>
      </c>
      <c r="R43" s="586">
        <v>0</v>
      </c>
      <c r="S43" s="582">
        <v>0</v>
      </c>
      <c r="T43" s="582">
        <v>0</v>
      </c>
      <c r="U43" s="582">
        <v>0</v>
      </c>
      <c r="V43" s="582">
        <v>0</v>
      </c>
      <c r="W43" s="582">
        <v>0</v>
      </c>
      <c r="X43" s="582">
        <v>0</v>
      </c>
      <c r="Y43" s="582">
        <v>0</v>
      </c>
      <c r="Z43" s="582">
        <v>0</v>
      </c>
      <c r="AA43" s="587">
        <v>0</v>
      </c>
      <c r="AB43" s="582">
        <v>0</v>
      </c>
      <c r="AC43" s="582">
        <v>0</v>
      </c>
      <c r="AD43" s="586">
        <v>0</v>
      </c>
      <c r="AE43" s="582">
        <v>0</v>
      </c>
      <c r="AF43" s="586">
        <v>0</v>
      </c>
      <c r="AG43" s="582">
        <v>0</v>
      </c>
      <c r="AH43" s="582">
        <v>0</v>
      </c>
      <c r="AI43" s="582">
        <v>0</v>
      </c>
      <c r="AJ43" s="582">
        <v>0</v>
      </c>
      <c r="AK43" s="582"/>
      <c r="AL43" s="586"/>
      <c r="AM43" s="582"/>
      <c r="AN43" s="582"/>
      <c r="AO43" s="582"/>
      <c r="AP43" s="588"/>
    </row>
    <row r="44" spans="1:42" ht="17.25" hidden="1" customHeight="1" x14ac:dyDescent="0.15">
      <c r="A44" s="581" t="s">
        <v>311</v>
      </c>
      <c r="B44" s="579" t="s">
        <v>312</v>
      </c>
      <c r="C44" s="582">
        <v>0</v>
      </c>
      <c r="D44" s="582">
        <v>0</v>
      </c>
      <c r="E44" s="586">
        <v>1853</v>
      </c>
      <c r="F44" s="582">
        <v>1621</v>
      </c>
      <c r="G44" s="572">
        <v>53217</v>
      </c>
      <c r="H44" s="572">
        <v>46565</v>
      </c>
      <c r="I44" s="572">
        <v>38494</v>
      </c>
      <c r="J44" s="572">
        <v>33682</v>
      </c>
      <c r="K44" s="572">
        <v>28219</v>
      </c>
      <c r="L44" s="572">
        <v>24691</v>
      </c>
      <c r="M44" s="572">
        <v>21085</v>
      </c>
      <c r="N44" s="572">
        <v>18449</v>
      </c>
      <c r="O44" s="572">
        <v>2691</v>
      </c>
      <c r="P44" s="573">
        <v>2355</v>
      </c>
      <c r="Q44" s="582">
        <v>0</v>
      </c>
      <c r="R44" s="586">
        <v>0</v>
      </c>
      <c r="S44" s="582">
        <v>0</v>
      </c>
      <c r="T44" s="582">
        <v>0</v>
      </c>
      <c r="U44" s="582">
        <v>0</v>
      </c>
      <c r="V44" s="582">
        <v>0</v>
      </c>
      <c r="W44" s="582">
        <v>0</v>
      </c>
      <c r="X44" s="582">
        <v>0</v>
      </c>
      <c r="Y44" s="582">
        <v>0</v>
      </c>
      <c r="Z44" s="582">
        <v>0</v>
      </c>
      <c r="AA44" s="587">
        <v>0</v>
      </c>
      <c r="AB44" s="582">
        <v>0</v>
      </c>
      <c r="AC44" s="582">
        <v>0</v>
      </c>
      <c r="AD44" s="586">
        <v>0</v>
      </c>
      <c r="AE44" s="582">
        <v>0</v>
      </c>
      <c r="AF44" s="586">
        <v>0</v>
      </c>
      <c r="AG44" s="582">
        <v>0</v>
      </c>
      <c r="AH44" s="582">
        <v>0</v>
      </c>
      <c r="AI44" s="582">
        <v>0</v>
      </c>
      <c r="AJ44" s="582">
        <v>0</v>
      </c>
      <c r="AK44" s="582"/>
      <c r="AL44" s="586"/>
      <c r="AM44" s="582"/>
      <c r="AN44" s="582"/>
      <c r="AO44" s="582"/>
      <c r="AP44" s="588"/>
    </row>
    <row r="45" spans="1:42" ht="17.25" hidden="1" customHeight="1" x14ac:dyDescent="0.15">
      <c r="A45" s="581" t="s">
        <v>309</v>
      </c>
      <c r="B45" s="579" t="s">
        <v>313</v>
      </c>
      <c r="C45" s="582">
        <v>0</v>
      </c>
      <c r="D45" s="582">
        <v>0</v>
      </c>
      <c r="E45" s="572">
        <v>0</v>
      </c>
      <c r="F45" s="572">
        <v>0</v>
      </c>
      <c r="G45" s="572">
        <v>0</v>
      </c>
      <c r="H45" s="572">
        <v>0</v>
      </c>
      <c r="I45" s="572">
        <v>740</v>
      </c>
      <c r="J45" s="572">
        <v>493</v>
      </c>
      <c r="K45" s="572">
        <v>2724</v>
      </c>
      <c r="L45" s="572">
        <v>1816</v>
      </c>
      <c r="M45" s="593" t="s">
        <v>165</v>
      </c>
      <c r="N45" s="593" t="s">
        <v>165</v>
      </c>
      <c r="O45" s="572">
        <v>1256</v>
      </c>
      <c r="P45" s="573">
        <v>837</v>
      </c>
      <c r="Q45" s="582">
        <v>914</v>
      </c>
      <c r="R45" s="586">
        <v>609</v>
      </c>
      <c r="S45" s="582">
        <v>534</v>
      </c>
      <c r="T45" s="582">
        <v>356</v>
      </c>
      <c r="U45" s="582">
        <v>0</v>
      </c>
      <c r="V45" s="582">
        <v>0</v>
      </c>
      <c r="W45" s="582">
        <v>0</v>
      </c>
      <c r="X45" s="582">
        <v>0</v>
      </c>
      <c r="Y45" s="582">
        <v>0</v>
      </c>
      <c r="Z45" s="582">
        <v>0</v>
      </c>
      <c r="AA45" s="587">
        <v>0</v>
      </c>
      <c r="AB45" s="582">
        <v>0</v>
      </c>
      <c r="AC45" s="582">
        <v>0</v>
      </c>
      <c r="AD45" s="586">
        <v>0</v>
      </c>
      <c r="AE45" s="582">
        <v>0</v>
      </c>
      <c r="AF45" s="586">
        <v>0</v>
      </c>
      <c r="AG45" s="582">
        <v>0</v>
      </c>
      <c r="AH45" s="582">
        <v>0</v>
      </c>
      <c r="AI45" s="582">
        <v>0</v>
      </c>
      <c r="AJ45" s="582">
        <v>0</v>
      </c>
      <c r="AK45" s="582"/>
      <c r="AL45" s="586"/>
      <c r="AM45" s="582"/>
      <c r="AN45" s="582"/>
      <c r="AO45" s="582"/>
      <c r="AP45" s="588"/>
    </row>
    <row r="46" spans="1:42" ht="17.25" hidden="1" customHeight="1" x14ac:dyDescent="0.15">
      <c r="A46" s="581" t="s">
        <v>314</v>
      </c>
      <c r="B46" s="579" t="s">
        <v>315</v>
      </c>
      <c r="C46" s="582">
        <v>0</v>
      </c>
      <c r="D46" s="582">
        <v>0</v>
      </c>
      <c r="E46" s="572">
        <v>0</v>
      </c>
      <c r="F46" s="572">
        <v>0</v>
      </c>
      <c r="G46" s="572">
        <v>0</v>
      </c>
      <c r="H46" s="572">
        <v>0</v>
      </c>
      <c r="I46" s="572">
        <v>217178</v>
      </c>
      <c r="J46" s="572">
        <v>173742</v>
      </c>
      <c r="K46" s="572">
        <v>114226</v>
      </c>
      <c r="L46" s="572">
        <v>91381</v>
      </c>
      <c r="M46" s="572">
        <v>70633</v>
      </c>
      <c r="N46" s="572">
        <v>56507</v>
      </c>
      <c r="O46" s="572">
        <v>32339</v>
      </c>
      <c r="P46" s="573">
        <v>25871</v>
      </c>
      <c r="Q46" s="582">
        <v>4554</v>
      </c>
      <c r="R46" s="586">
        <v>3643</v>
      </c>
      <c r="S46" s="582">
        <v>0</v>
      </c>
      <c r="T46" s="582">
        <v>0</v>
      </c>
      <c r="U46" s="582">
        <v>0</v>
      </c>
      <c r="V46" s="582">
        <v>0</v>
      </c>
      <c r="W46" s="582">
        <v>0</v>
      </c>
      <c r="X46" s="582">
        <v>0</v>
      </c>
      <c r="Y46" s="582">
        <v>0</v>
      </c>
      <c r="Z46" s="582">
        <v>0</v>
      </c>
      <c r="AA46" s="587">
        <v>0</v>
      </c>
      <c r="AB46" s="582">
        <v>0</v>
      </c>
      <c r="AC46" s="582">
        <v>0</v>
      </c>
      <c r="AD46" s="586">
        <v>0</v>
      </c>
      <c r="AE46" s="582">
        <v>0</v>
      </c>
      <c r="AF46" s="586">
        <v>0</v>
      </c>
      <c r="AG46" s="582">
        <v>0</v>
      </c>
      <c r="AH46" s="582">
        <v>0</v>
      </c>
      <c r="AI46" s="582">
        <v>0</v>
      </c>
      <c r="AJ46" s="582">
        <v>0</v>
      </c>
      <c r="AK46" s="582"/>
      <c r="AL46" s="586"/>
      <c r="AM46" s="582"/>
      <c r="AN46" s="582"/>
      <c r="AO46" s="582"/>
      <c r="AP46" s="588"/>
    </row>
    <row r="47" spans="1:42" ht="17.25" hidden="1" customHeight="1" x14ac:dyDescent="0.15">
      <c r="A47" s="581" t="s">
        <v>314</v>
      </c>
      <c r="B47" s="579" t="s">
        <v>316</v>
      </c>
      <c r="C47" s="582">
        <v>0</v>
      </c>
      <c r="D47" s="582">
        <v>0</v>
      </c>
      <c r="E47" s="572">
        <v>0</v>
      </c>
      <c r="F47" s="572">
        <v>0</v>
      </c>
      <c r="G47" s="572">
        <v>0</v>
      </c>
      <c r="H47" s="572">
        <v>0</v>
      </c>
      <c r="I47" s="572">
        <v>112411</v>
      </c>
      <c r="J47" s="572">
        <v>84308</v>
      </c>
      <c r="K47" s="572">
        <v>77721</v>
      </c>
      <c r="L47" s="572">
        <v>58291</v>
      </c>
      <c r="M47" s="572">
        <v>49735</v>
      </c>
      <c r="N47" s="572">
        <v>37301</v>
      </c>
      <c r="O47" s="572">
        <v>20477</v>
      </c>
      <c r="P47" s="573">
        <v>15358</v>
      </c>
      <c r="Q47" s="582">
        <v>2027</v>
      </c>
      <c r="R47" s="586">
        <v>1521</v>
      </c>
      <c r="S47" s="582">
        <v>0</v>
      </c>
      <c r="T47" s="582">
        <v>0</v>
      </c>
      <c r="U47" s="582">
        <v>0</v>
      </c>
      <c r="V47" s="582">
        <v>0</v>
      </c>
      <c r="W47" s="582">
        <v>0</v>
      </c>
      <c r="X47" s="582">
        <v>0</v>
      </c>
      <c r="Y47" s="582">
        <v>0</v>
      </c>
      <c r="Z47" s="582">
        <v>0</v>
      </c>
      <c r="AA47" s="587">
        <v>0</v>
      </c>
      <c r="AB47" s="582">
        <v>0</v>
      </c>
      <c r="AC47" s="582">
        <v>0</v>
      </c>
      <c r="AD47" s="586">
        <v>0</v>
      </c>
      <c r="AE47" s="582">
        <v>0</v>
      </c>
      <c r="AF47" s="586">
        <v>0</v>
      </c>
      <c r="AG47" s="582">
        <v>0</v>
      </c>
      <c r="AH47" s="582">
        <v>0</v>
      </c>
      <c r="AI47" s="582">
        <v>0</v>
      </c>
      <c r="AJ47" s="582">
        <v>0</v>
      </c>
      <c r="AK47" s="582"/>
      <c r="AL47" s="586"/>
      <c r="AM47" s="582"/>
      <c r="AN47" s="582"/>
      <c r="AO47" s="582"/>
      <c r="AP47" s="588"/>
    </row>
    <row r="48" spans="1:42" ht="18" hidden="1" customHeight="1" x14ac:dyDescent="0.15">
      <c r="A48" s="581" t="s">
        <v>317</v>
      </c>
      <c r="B48" s="579" t="s">
        <v>318</v>
      </c>
      <c r="C48" s="573">
        <v>639297</v>
      </c>
      <c r="D48" s="572">
        <v>479473</v>
      </c>
      <c r="E48" s="573">
        <v>342958</v>
      </c>
      <c r="F48" s="572">
        <v>257219</v>
      </c>
      <c r="G48" s="572">
        <v>294258</v>
      </c>
      <c r="H48" s="572">
        <v>220694</v>
      </c>
      <c r="I48" s="572">
        <v>43327</v>
      </c>
      <c r="J48" s="572">
        <v>32496</v>
      </c>
      <c r="K48" s="572">
        <v>7786</v>
      </c>
      <c r="L48" s="572">
        <v>5840</v>
      </c>
      <c r="M48" s="584">
        <v>0</v>
      </c>
      <c r="N48" s="584">
        <v>0</v>
      </c>
      <c r="O48" s="584">
        <v>0</v>
      </c>
      <c r="P48" s="585">
        <v>0</v>
      </c>
      <c r="Q48" s="584">
        <v>0</v>
      </c>
      <c r="R48" s="585">
        <v>0</v>
      </c>
      <c r="S48" s="584">
        <v>0</v>
      </c>
      <c r="T48" s="584">
        <v>0</v>
      </c>
      <c r="U48" s="584">
        <v>0</v>
      </c>
      <c r="V48" s="584">
        <v>0</v>
      </c>
      <c r="W48" s="582">
        <v>0</v>
      </c>
      <c r="X48" s="582">
        <v>0</v>
      </c>
      <c r="Y48" s="582">
        <v>0</v>
      </c>
      <c r="Z48" s="582">
        <v>0</v>
      </c>
      <c r="AA48" s="587">
        <v>0</v>
      </c>
      <c r="AB48" s="582">
        <v>0</v>
      </c>
      <c r="AC48" s="582">
        <v>0</v>
      </c>
      <c r="AD48" s="586">
        <v>0</v>
      </c>
      <c r="AE48" s="582">
        <v>0</v>
      </c>
      <c r="AF48" s="586">
        <v>0</v>
      </c>
      <c r="AG48" s="582">
        <v>0</v>
      </c>
      <c r="AH48" s="582">
        <v>0</v>
      </c>
      <c r="AI48" s="582">
        <v>0</v>
      </c>
      <c r="AJ48" s="582">
        <v>0</v>
      </c>
      <c r="AK48" s="582"/>
      <c r="AL48" s="586"/>
      <c r="AM48" s="582"/>
      <c r="AN48" s="582"/>
      <c r="AO48" s="582"/>
      <c r="AP48" s="588"/>
    </row>
    <row r="49" spans="1:42" ht="18" hidden="1" customHeight="1" x14ac:dyDescent="0.15">
      <c r="A49" s="581" t="s">
        <v>311</v>
      </c>
      <c r="B49" s="594" t="s">
        <v>319</v>
      </c>
      <c r="C49" s="584">
        <v>19460</v>
      </c>
      <c r="D49" s="572">
        <v>15568</v>
      </c>
      <c r="E49" s="584">
        <v>31621</v>
      </c>
      <c r="F49" s="572">
        <v>25297</v>
      </c>
      <c r="G49" s="584">
        <v>0</v>
      </c>
      <c r="H49" s="582">
        <v>0</v>
      </c>
      <c r="I49" s="584">
        <v>83835</v>
      </c>
      <c r="J49" s="582">
        <v>67068</v>
      </c>
      <c r="K49" s="584">
        <v>116415</v>
      </c>
      <c r="L49" s="582">
        <v>93132</v>
      </c>
      <c r="M49" s="584">
        <v>83692</v>
      </c>
      <c r="N49" s="582">
        <v>66953</v>
      </c>
      <c r="O49" s="584">
        <v>56938</v>
      </c>
      <c r="P49" s="586">
        <v>45550</v>
      </c>
      <c r="Q49" s="582">
        <v>4994</v>
      </c>
      <c r="R49" s="586">
        <v>3995</v>
      </c>
      <c r="S49" s="582">
        <v>20721</v>
      </c>
      <c r="T49" s="582">
        <v>16577</v>
      </c>
      <c r="U49" s="582">
        <v>0</v>
      </c>
      <c r="V49" s="582">
        <v>0</v>
      </c>
      <c r="W49" s="582">
        <v>0</v>
      </c>
      <c r="X49" s="582">
        <v>0</v>
      </c>
      <c r="Y49" s="582">
        <v>0</v>
      </c>
      <c r="Z49" s="582">
        <v>0</v>
      </c>
      <c r="AA49" s="587">
        <v>0</v>
      </c>
      <c r="AB49" s="582">
        <v>0</v>
      </c>
      <c r="AC49" s="582">
        <v>0</v>
      </c>
      <c r="AD49" s="586">
        <v>0</v>
      </c>
      <c r="AE49" s="582">
        <v>0</v>
      </c>
      <c r="AF49" s="586">
        <v>0</v>
      </c>
      <c r="AG49" s="582">
        <v>0</v>
      </c>
      <c r="AH49" s="582">
        <v>0</v>
      </c>
      <c r="AI49" s="582">
        <v>0</v>
      </c>
      <c r="AJ49" s="582">
        <v>0</v>
      </c>
      <c r="AK49" s="582"/>
      <c r="AL49" s="586"/>
      <c r="AM49" s="582"/>
      <c r="AN49" s="582"/>
      <c r="AO49" s="582"/>
      <c r="AP49" s="588"/>
    </row>
    <row r="50" spans="1:42" ht="18" hidden="1" customHeight="1" x14ac:dyDescent="0.15">
      <c r="A50" s="581" t="s">
        <v>311</v>
      </c>
      <c r="B50" s="594" t="s">
        <v>320</v>
      </c>
      <c r="C50" s="584">
        <v>0</v>
      </c>
      <c r="D50" s="584">
        <v>0</v>
      </c>
      <c r="E50" s="585">
        <v>0</v>
      </c>
      <c r="F50" s="584">
        <v>0</v>
      </c>
      <c r="G50" s="584">
        <v>0</v>
      </c>
      <c r="H50" s="584">
        <v>0</v>
      </c>
      <c r="I50" s="584">
        <v>91930</v>
      </c>
      <c r="J50" s="582">
        <v>76608</v>
      </c>
      <c r="K50" s="584">
        <v>109269</v>
      </c>
      <c r="L50" s="582">
        <v>91058</v>
      </c>
      <c r="M50" s="584">
        <v>128276</v>
      </c>
      <c r="N50" s="582">
        <v>106897</v>
      </c>
      <c r="O50" s="584">
        <v>156997</v>
      </c>
      <c r="P50" s="586">
        <v>130831</v>
      </c>
      <c r="Q50" s="584">
        <v>178275</v>
      </c>
      <c r="R50" s="586">
        <v>147487</v>
      </c>
      <c r="S50" s="584">
        <v>90618</v>
      </c>
      <c r="T50" s="582">
        <v>75515</v>
      </c>
      <c r="U50" s="582">
        <v>69473</v>
      </c>
      <c r="V50" s="582">
        <v>57894</v>
      </c>
      <c r="W50" s="572">
        <v>36130</v>
      </c>
      <c r="X50" s="574">
        <v>30109</v>
      </c>
      <c r="Y50" s="572">
        <v>9700</v>
      </c>
      <c r="Z50" s="574">
        <v>8084</v>
      </c>
      <c r="AA50" s="587">
        <v>0</v>
      </c>
      <c r="AB50" s="582">
        <v>0</v>
      </c>
      <c r="AC50" s="582">
        <v>0</v>
      </c>
      <c r="AD50" s="586">
        <v>0</v>
      </c>
      <c r="AE50" s="582">
        <v>0</v>
      </c>
      <c r="AF50" s="586">
        <v>0</v>
      </c>
      <c r="AG50" s="582">
        <v>0</v>
      </c>
      <c r="AH50" s="582">
        <v>0</v>
      </c>
      <c r="AI50" s="582">
        <v>0</v>
      </c>
      <c r="AJ50" s="582">
        <v>0</v>
      </c>
      <c r="AK50" s="582"/>
      <c r="AL50" s="586"/>
      <c r="AM50" s="582"/>
      <c r="AN50" s="582"/>
      <c r="AO50" s="582"/>
      <c r="AP50" s="588"/>
    </row>
    <row r="51" spans="1:42" ht="17.25" customHeight="1" x14ac:dyDescent="0.15">
      <c r="A51" s="581" t="s">
        <v>321</v>
      </c>
      <c r="B51" s="595" t="s">
        <v>322</v>
      </c>
      <c r="C51" s="585">
        <v>0</v>
      </c>
      <c r="D51" s="584">
        <v>0</v>
      </c>
      <c r="E51" s="585">
        <v>0</v>
      </c>
      <c r="F51" s="584">
        <v>0</v>
      </c>
      <c r="G51" s="584">
        <v>0</v>
      </c>
      <c r="H51" s="584">
        <v>0</v>
      </c>
      <c r="I51" s="585">
        <v>0</v>
      </c>
      <c r="J51" s="584">
        <v>0</v>
      </c>
      <c r="K51" s="582">
        <v>398455</v>
      </c>
      <c r="L51" s="582">
        <v>199228</v>
      </c>
      <c r="M51" s="582">
        <v>290591</v>
      </c>
      <c r="N51" s="582">
        <v>145295</v>
      </c>
      <c r="O51" s="582">
        <v>234756</v>
      </c>
      <c r="P51" s="586">
        <v>117378</v>
      </c>
      <c r="Q51" s="582">
        <v>199463</v>
      </c>
      <c r="R51" s="586">
        <v>99731</v>
      </c>
      <c r="S51" s="582">
        <v>165815</v>
      </c>
      <c r="T51" s="582">
        <v>82907</v>
      </c>
      <c r="U51" s="582">
        <v>0</v>
      </c>
      <c r="V51" s="582">
        <v>0</v>
      </c>
      <c r="W51" s="582">
        <v>123555</v>
      </c>
      <c r="X51" s="582">
        <v>74133</v>
      </c>
      <c r="Y51" s="582">
        <v>108227</v>
      </c>
      <c r="Z51" s="582">
        <v>64936</v>
      </c>
      <c r="AA51" s="587">
        <v>94696</v>
      </c>
      <c r="AB51" s="582">
        <v>75757</v>
      </c>
      <c r="AC51" s="582">
        <v>80313</v>
      </c>
      <c r="AD51" s="586">
        <v>64250</v>
      </c>
      <c r="AE51" s="582">
        <v>66936</v>
      </c>
      <c r="AF51" s="586">
        <v>55780</v>
      </c>
      <c r="AG51" s="582">
        <v>59508</v>
      </c>
      <c r="AH51" s="582">
        <v>49590</v>
      </c>
      <c r="AI51" s="582">
        <v>0</v>
      </c>
      <c r="AJ51" s="582">
        <v>0</v>
      </c>
      <c r="AK51" s="582">
        <v>0</v>
      </c>
      <c r="AL51" s="586">
        <v>0</v>
      </c>
      <c r="AM51" s="582">
        <v>0</v>
      </c>
      <c r="AN51" s="582">
        <v>0</v>
      </c>
      <c r="AO51" s="590" t="s">
        <v>275</v>
      </c>
      <c r="AP51" s="592" t="s">
        <v>275</v>
      </c>
    </row>
    <row r="52" spans="1:42" ht="18" hidden="1" customHeight="1" x14ac:dyDescent="0.15">
      <c r="A52" s="581" t="s">
        <v>323</v>
      </c>
      <c r="B52" s="579" t="s">
        <v>324</v>
      </c>
      <c r="C52" s="584">
        <v>0</v>
      </c>
      <c r="D52" s="584">
        <v>0</v>
      </c>
      <c r="E52" s="585">
        <v>0</v>
      </c>
      <c r="F52" s="584">
        <v>0</v>
      </c>
      <c r="G52" s="584">
        <v>11626</v>
      </c>
      <c r="H52" s="584">
        <v>10463</v>
      </c>
      <c r="I52" s="584">
        <v>9231</v>
      </c>
      <c r="J52" s="584">
        <v>8308</v>
      </c>
      <c r="K52" s="584">
        <v>7329</v>
      </c>
      <c r="L52" s="584">
        <v>6596</v>
      </c>
      <c r="M52" s="584">
        <v>5819</v>
      </c>
      <c r="N52" s="584">
        <v>5238</v>
      </c>
      <c r="O52" s="584">
        <v>4621</v>
      </c>
      <c r="P52" s="585">
        <v>4159</v>
      </c>
      <c r="Q52" s="582">
        <v>0</v>
      </c>
      <c r="R52" s="586">
        <v>0</v>
      </c>
      <c r="S52" s="582">
        <v>0</v>
      </c>
      <c r="T52" s="582">
        <v>0</v>
      </c>
      <c r="U52" s="582">
        <v>0</v>
      </c>
      <c r="V52" s="582">
        <v>0</v>
      </c>
      <c r="W52" s="582">
        <v>0</v>
      </c>
      <c r="X52" s="582">
        <v>0</v>
      </c>
      <c r="Y52" s="582">
        <v>0</v>
      </c>
      <c r="Z52" s="582">
        <v>0</v>
      </c>
      <c r="AA52" s="587">
        <v>0</v>
      </c>
      <c r="AB52" s="582">
        <v>0</v>
      </c>
      <c r="AC52" s="582">
        <v>0</v>
      </c>
      <c r="AD52" s="586">
        <v>0</v>
      </c>
      <c r="AE52" s="582">
        <v>0</v>
      </c>
      <c r="AF52" s="586">
        <v>0</v>
      </c>
      <c r="AG52" s="582">
        <v>0</v>
      </c>
      <c r="AH52" s="582">
        <v>0</v>
      </c>
      <c r="AI52" s="582">
        <v>0</v>
      </c>
      <c r="AJ52" s="582">
        <v>0</v>
      </c>
      <c r="AK52" s="582"/>
      <c r="AL52" s="586"/>
      <c r="AM52" s="582"/>
      <c r="AN52" s="582"/>
      <c r="AO52" s="590" t="s">
        <v>275</v>
      </c>
      <c r="AP52" s="592" t="s">
        <v>275</v>
      </c>
    </row>
    <row r="53" spans="1:42" ht="17.25" customHeight="1" x14ac:dyDescent="0.15">
      <c r="A53" s="581" t="s">
        <v>325</v>
      </c>
      <c r="B53" s="579" t="s">
        <v>326</v>
      </c>
      <c r="C53" s="584">
        <v>0</v>
      </c>
      <c r="D53" s="584">
        <v>0</v>
      </c>
      <c r="E53" s="585">
        <v>0</v>
      </c>
      <c r="F53" s="584">
        <v>0</v>
      </c>
      <c r="G53" s="584">
        <v>0</v>
      </c>
      <c r="H53" s="584">
        <v>0</v>
      </c>
      <c r="I53" s="582">
        <v>14539</v>
      </c>
      <c r="J53" s="582">
        <v>7269</v>
      </c>
      <c r="K53" s="582">
        <v>7971</v>
      </c>
      <c r="L53" s="582">
        <v>3986</v>
      </c>
      <c r="M53" s="582">
        <v>31264</v>
      </c>
      <c r="N53" s="582">
        <v>15632</v>
      </c>
      <c r="O53" s="582">
        <v>23054</v>
      </c>
      <c r="P53" s="586">
        <v>11527</v>
      </c>
      <c r="Q53" s="582">
        <v>8512</v>
      </c>
      <c r="R53" s="586">
        <v>4256</v>
      </c>
      <c r="S53" s="582">
        <v>0</v>
      </c>
      <c r="T53" s="582">
        <v>0</v>
      </c>
      <c r="U53" s="582">
        <v>0</v>
      </c>
      <c r="V53" s="582">
        <v>0</v>
      </c>
      <c r="W53" s="582">
        <v>0</v>
      </c>
      <c r="X53" s="582">
        <v>0</v>
      </c>
      <c r="Y53" s="582">
        <v>0</v>
      </c>
      <c r="Z53" s="582">
        <v>0</v>
      </c>
      <c r="AA53" s="587">
        <v>0</v>
      </c>
      <c r="AB53" s="582">
        <v>0</v>
      </c>
      <c r="AC53" s="582">
        <v>4535</v>
      </c>
      <c r="AD53" s="586">
        <v>2268</v>
      </c>
      <c r="AE53" s="582">
        <v>2549</v>
      </c>
      <c r="AF53" s="586">
        <v>1274</v>
      </c>
      <c r="AG53" s="582">
        <v>1432</v>
      </c>
      <c r="AH53" s="582">
        <v>716</v>
      </c>
      <c r="AI53" s="582">
        <v>0</v>
      </c>
      <c r="AJ53" s="582">
        <v>0</v>
      </c>
      <c r="AK53" s="582">
        <v>0</v>
      </c>
      <c r="AL53" s="586">
        <v>0</v>
      </c>
      <c r="AM53" s="582">
        <v>0</v>
      </c>
      <c r="AN53" s="582">
        <v>0</v>
      </c>
      <c r="AO53" s="590" t="s">
        <v>275</v>
      </c>
      <c r="AP53" s="592" t="s">
        <v>275</v>
      </c>
    </row>
    <row r="54" spans="1:42" ht="18" hidden="1" customHeight="1" x14ac:dyDescent="0.15">
      <c r="A54" s="581" t="s">
        <v>327</v>
      </c>
      <c r="B54" s="579" t="s">
        <v>328</v>
      </c>
      <c r="C54" s="584">
        <v>0</v>
      </c>
      <c r="D54" s="584">
        <v>0</v>
      </c>
      <c r="E54" s="585">
        <v>0</v>
      </c>
      <c r="F54" s="584">
        <v>0</v>
      </c>
      <c r="G54" s="584">
        <v>0</v>
      </c>
      <c r="H54" s="584">
        <v>0</v>
      </c>
      <c r="I54" s="584">
        <v>0</v>
      </c>
      <c r="J54" s="584">
        <v>0</v>
      </c>
      <c r="K54" s="584">
        <v>0</v>
      </c>
      <c r="L54" s="584">
        <v>0</v>
      </c>
      <c r="M54" s="584">
        <v>0</v>
      </c>
      <c r="N54" s="584">
        <v>0</v>
      </c>
      <c r="O54" s="582">
        <v>0</v>
      </c>
      <c r="P54" s="586">
        <v>0</v>
      </c>
      <c r="Q54" s="582">
        <v>0</v>
      </c>
      <c r="R54" s="586">
        <v>0</v>
      </c>
      <c r="S54" s="582">
        <v>0</v>
      </c>
      <c r="T54" s="582">
        <v>0</v>
      </c>
      <c r="U54" s="582"/>
      <c r="V54" s="582"/>
      <c r="W54" s="572"/>
      <c r="X54" s="572"/>
      <c r="Y54" s="572"/>
      <c r="Z54" s="572"/>
      <c r="AA54" s="574"/>
      <c r="AB54" s="572"/>
      <c r="AC54" s="572"/>
      <c r="AD54" s="573"/>
      <c r="AE54" s="572"/>
      <c r="AF54" s="573"/>
      <c r="AG54" s="572"/>
      <c r="AH54" s="572"/>
      <c r="AI54" s="572"/>
      <c r="AJ54" s="572"/>
      <c r="AK54" s="572"/>
      <c r="AL54" s="573"/>
      <c r="AM54" s="572"/>
      <c r="AN54" s="572"/>
      <c r="AO54" s="590" t="s">
        <v>275</v>
      </c>
      <c r="AP54" s="592" t="s">
        <v>275</v>
      </c>
    </row>
    <row r="55" spans="1:42" ht="18" hidden="1" customHeight="1" x14ac:dyDescent="0.15">
      <c r="A55" s="581" t="s">
        <v>311</v>
      </c>
      <c r="B55" s="579" t="s">
        <v>329</v>
      </c>
      <c r="C55" s="586">
        <v>0</v>
      </c>
      <c r="D55" s="582">
        <v>0</v>
      </c>
      <c r="E55" s="586">
        <v>0</v>
      </c>
      <c r="F55" s="582">
        <v>0</v>
      </c>
      <c r="G55" s="582">
        <v>0</v>
      </c>
      <c r="H55" s="582">
        <v>0</v>
      </c>
      <c r="I55" s="582">
        <v>0</v>
      </c>
      <c r="J55" s="582">
        <v>0</v>
      </c>
      <c r="K55" s="582">
        <v>0</v>
      </c>
      <c r="L55" s="582">
        <v>0</v>
      </c>
      <c r="M55" s="582">
        <v>0</v>
      </c>
      <c r="N55" s="582">
        <v>0</v>
      </c>
      <c r="O55" s="582">
        <v>0</v>
      </c>
      <c r="P55" s="586">
        <v>0</v>
      </c>
      <c r="Q55" s="582">
        <v>0</v>
      </c>
      <c r="R55" s="586">
        <v>0</v>
      </c>
      <c r="S55" s="582">
        <v>0</v>
      </c>
      <c r="T55" s="582">
        <v>0</v>
      </c>
      <c r="U55" s="582"/>
      <c r="V55" s="582"/>
      <c r="W55" s="572"/>
      <c r="X55" s="572"/>
      <c r="Y55" s="572"/>
      <c r="Z55" s="572"/>
      <c r="AA55" s="574"/>
      <c r="AB55" s="572"/>
      <c r="AC55" s="572"/>
      <c r="AD55" s="573"/>
      <c r="AE55" s="572"/>
      <c r="AF55" s="573"/>
      <c r="AG55" s="572"/>
      <c r="AH55" s="572"/>
      <c r="AI55" s="572"/>
      <c r="AJ55" s="572"/>
      <c r="AK55" s="572"/>
      <c r="AL55" s="573"/>
      <c r="AM55" s="572"/>
      <c r="AN55" s="572"/>
      <c r="AO55" s="590" t="s">
        <v>275</v>
      </c>
      <c r="AP55" s="592" t="s">
        <v>275</v>
      </c>
    </row>
    <row r="56" spans="1:42" ht="18" hidden="1" customHeight="1" x14ac:dyDescent="0.15">
      <c r="A56" s="581" t="s">
        <v>311</v>
      </c>
      <c r="B56" s="579" t="s">
        <v>330</v>
      </c>
      <c r="C56" s="573">
        <v>367829</v>
      </c>
      <c r="D56" s="572">
        <v>331046</v>
      </c>
      <c r="E56" s="573">
        <v>84898</v>
      </c>
      <c r="F56" s="572">
        <v>76408</v>
      </c>
      <c r="G56" s="582">
        <v>0</v>
      </c>
      <c r="H56" s="582">
        <v>0</v>
      </c>
      <c r="I56" s="582">
        <v>0</v>
      </c>
      <c r="J56" s="582">
        <v>0</v>
      </c>
      <c r="K56" s="582">
        <v>0</v>
      </c>
      <c r="L56" s="582">
        <v>0</v>
      </c>
      <c r="M56" s="582">
        <v>0</v>
      </c>
      <c r="N56" s="582">
        <v>0</v>
      </c>
      <c r="O56" s="582">
        <v>0</v>
      </c>
      <c r="P56" s="586">
        <v>0</v>
      </c>
      <c r="Q56" s="582">
        <v>0</v>
      </c>
      <c r="R56" s="586">
        <v>0</v>
      </c>
      <c r="S56" s="582">
        <v>0</v>
      </c>
      <c r="T56" s="582">
        <v>0</v>
      </c>
      <c r="U56" s="582"/>
      <c r="V56" s="582"/>
      <c r="W56" s="572"/>
      <c r="X56" s="572"/>
      <c r="Y56" s="572"/>
      <c r="Z56" s="572"/>
      <c r="AA56" s="574"/>
      <c r="AB56" s="572"/>
      <c r="AC56" s="572"/>
      <c r="AD56" s="573"/>
      <c r="AE56" s="572"/>
      <c r="AF56" s="573"/>
      <c r="AG56" s="572"/>
      <c r="AH56" s="572"/>
      <c r="AI56" s="572"/>
      <c r="AJ56" s="572"/>
      <c r="AK56" s="572"/>
      <c r="AL56" s="573"/>
      <c r="AM56" s="572"/>
      <c r="AN56" s="572"/>
      <c r="AO56" s="590" t="s">
        <v>275</v>
      </c>
      <c r="AP56" s="592" t="s">
        <v>275</v>
      </c>
    </row>
    <row r="57" spans="1:42" ht="17.25" customHeight="1" x14ac:dyDescent="0.15">
      <c r="A57" s="581" t="s">
        <v>331</v>
      </c>
      <c r="B57" s="579" t="s">
        <v>332</v>
      </c>
      <c r="C57" s="584"/>
      <c r="D57" s="584"/>
      <c r="E57" s="585"/>
      <c r="F57" s="584"/>
      <c r="G57" s="584"/>
      <c r="H57" s="584"/>
      <c r="I57" s="585"/>
      <c r="J57" s="584"/>
      <c r="K57" s="582"/>
      <c r="L57" s="582"/>
      <c r="M57" s="582">
        <v>0</v>
      </c>
      <c r="N57" s="582">
        <v>0</v>
      </c>
      <c r="O57" s="582">
        <v>0</v>
      </c>
      <c r="P57" s="582">
        <v>0</v>
      </c>
      <c r="Q57" s="582">
        <v>0</v>
      </c>
      <c r="R57" s="582">
        <v>0</v>
      </c>
      <c r="S57" s="582">
        <v>0</v>
      </c>
      <c r="T57" s="582">
        <v>0</v>
      </c>
      <c r="U57" s="582">
        <v>73733</v>
      </c>
      <c r="V57" s="582">
        <v>49155</v>
      </c>
      <c r="W57" s="572">
        <v>888792</v>
      </c>
      <c r="X57" s="574">
        <v>592528</v>
      </c>
      <c r="Y57" s="572">
        <v>3636553</v>
      </c>
      <c r="Z57" s="574">
        <v>2424369</v>
      </c>
      <c r="AA57" s="574">
        <v>5091291</v>
      </c>
      <c r="AB57" s="572">
        <v>3394194</v>
      </c>
      <c r="AC57" s="572">
        <v>3757868</v>
      </c>
      <c r="AD57" s="168">
        <v>2487861</v>
      </c>
      <c r="AE57" s="572">
        <v>1520555</v>
      </c>
      <c r="AF57" s="168">
        <v>1013703</v>
      </c>
      <c r="AG57" s="572">
        <v>158566</v>
      </c>
      <c r="AH57" s="574">
        <v>105710</v>
      </c>
      <c r="AI57" s="582">
        <v>0</v>
      </c>
      <c r="AJ57" s="582">
        <v>0</v>
      </c>
      <c r="AK57" s="582">
        <v>0</v>
      </c>
      <c r="AL57" s="586">
        <v>0</v>
      </c>
      <c r="AM57" s="582">
        <v>0</v>
      </c>
      <c r="AN57" s="582">
        <v>0</v>
      </c>
      <c r="AO57" s="590" t="s">
        <v>275</v>
      </c>
      <c r="AP57" s="592" t="s">
        <v>275</v>
      </c>
    </row>
    <row r="58" spans="1:42" ht="18" hidden="1" customHeight="1" x14ac:dyDescent="0.15">
      <c r="A58" s="581" t="s">
        <v>333</v>
      </c>
      <c r="B58" s="579" t="s">
        <v>334</v>
      </c>
      <c r="C58" s="572">
        <v>0</v>
      </c>
      <c r="D58" s="572">
        <v>0</v>
      </c>
      <c r="E58" s="573">
        <v>0</v>
      </c>
      <c r="F58" s="572">
        <v>0</v>
      </c>
      <c r="G58" s="582">
        <v>0</v>
      </c>
      <c r="H58" s="582">
        <v>0</v>
      </c>
      <c r="I58" s="582">
        <v>31576</v>
      </c>
      <c r="J58" s="582">
        <v>25261</v>
      </c>
      <c r="K58" s="582">
        <v>48404</v>
      </c>
      <c r="L58" s="582">
        <v>38723</v>
      </c>
      <c r="M58" s="582">
        <v>200671</v>
      </c>
      <c r="N58" s="582">
        <v>160537</v>
      </c>
      <c r="O58" s="582">
        <v>180916</v>
      </c>
      <c r="P58" s="586">
        <v>144733</v>
      </c>
      <c r="Q58" s="582">
        <v>133047</v>
      </c>
      <c r="R58" s="586">
        <v>106437</v>
      </c>
      <c r="S58" s="582">
        <v>102427</v>
      </c>
      <c r="T58" s="582">
        <v>81941</v>
      </c>
      <c r="U58" s="582">
        <v>72850</v>
      </c>
      <c r="V58" s="582">
        <v>58280</v>
      </c>
      <c r="W58" s="572">
        <v>13341</v>
      </c>
      <c r="X58" s="574">
        <v>10673</v>
      </c>
      <c r="Y58" s="572">
        <v>3696</v>
      </c>
      <c r="Z58" s="574">
        <v>2957</v>
      </c>
      <c r="AA58" s="587">
        <v>0</v>
      </c>
      <c r="AB58" s="587">
        <v>0</v>
      </c>
      <c r="AC58" s="582">
        <v>0</v>
      </c>
      <c r="AD58" s="589">
        <v>0</v>
      </c>
      <c r="AE58" s="582">
        <v>0</v>
      </c>
      <c r="AF58" s="589">
        <v>0</v>
      </c>
      <c r="AG58" s="582">
        <v>0</v>
      </c>
      <c r="AH58" s="587">
        <v>0</v>
      </c>
      <c r="AI58" s="582"/>
      <c r="AJ58" s="582"/>
      <c r="AK58" s="582"/>
      <c r="AL58" s="586"/>
      <c r="AM58" s="582"/>
      <c r="AN58" s="582"/>
      <c r="AO58" s="590" t="s">
        <v>275</v>
      </c>
      <c r="AP58" s="592" t="s">
        <v>275</v>
      </c>
    </row>
    <row r="59" spans="1:42" ht="17.25" customHeight="1" x14ac:dyDescent="0.15">
      <c r="A59" s="581" t="s">
        <v>335</v>
      </c>
      <c r="B59" s="579" t="s">
        <v>297</v>
      </c>
      <c r="C59" s="584"/>
      <c r="D59" s="584"/>
      <c r="E59" s="585"/>
      <c r="F59" s="584"/>
      <c r="G59" s="584"/>
      <c r="H59" s="584"/>
      <c r="I59" s="585"/>
      <c r="J59" s="584"/>
      <c r="K59" s="582"/>
      <c r="L59" s="582"/>
      <c r="M59" s="582"/>
      <c r="N59" s="582"/>
      <c r="O59" s="582"/>
      <c r="P59" s="586"/>
      <c r="Q59" s="582"/>
      <c r="R59" s="586"/>
      <c r="S59" s="582"/>
      <c r="T59" s="582"/>
      <c r="U59" s="582"/>
      <c r="V59" s="582"/>
      <c r="W59" s="582"/>
      <c r="X59" s="587"/>
      <c r="Y59" s="582">
        <v>0</v>
      </c>
      <c r="Z59" s="587">
        <v>0</v>
      </c>
      <c r="AA59" s="587">
        <v>0</v>
      </c>
      <c r="AB59" s="582">
        <v>0</v>
      </c>
      <c r="AC59" s="582">
        <v>0</v>
      </c>
      <c r="AD59" s="589">
        <v>0</v>
      </c>
      <c r="AE59" s="582">
        <v>0</v>
      </c>
      <c r="AF59" s="589">
        <v>0</v>
      </c>
      <c r="AG59" s="582">
        <v>624950</v>
      </c>
      <c r="AH59" s="587">
        <v>0</v>
      </c>
      <c r="AI59" s="582">
        <v>2267427</v>
      </c>
      <c r="AJ59" s="582">
        <v>0</v>
      </c>
      <c r="AK59" s="590">
        <v>3725073</v>
      </c>
      <c r="AL59" s="591" t="s">
        <v>165</v>
      </c>
      <c r="AM59" s="590">
        <v>3199734</v>
      </c>
      <c r="AN59" s="590" t="s">
        <v>165</v>
      </c>
      <c r="AO59" s="590">
        <v>1533152</v>
      </c>
      <c r="AP59" s="592">
        <v>0</v>
      </c>
    </row>
    <row r="60" spans="1:42" ht="17.25" customHeight="1" x14ac:dyDescent="0.15">
      <c r="A60" s="581" t="s">
        <v>336</v>
      </c>
      <c r="B60" s="579" t="s">
        <v>337</v>
      </c>
      <c r="C60" s="584"/>
      <c r="D60" s="584"/>
      <c r="E60" s="585">
        <v>0</v>
      </c>
      <c r="F60" s="584">
        <v>0</v>
      </c>
      <c r="G60" s="584">
        <v>0</v>
      </c>
      <c r="H60" s="584">
        <v>0</v>
      </c>
      <c r="I60" s="585">
        <v>0</v>
      </c>
      <c r="J60" s="584">
        <v>0</v>
      </c>
      <c r="K60" s="582">
        <v>0</v>
      </c>
      <c r="L60" s="582">
        <v>0</v>
      </c>
      <c r="M60" s="582">
        <v>0</v>
      </c>
      <c r="N60" s="582">
        <v>0</v>
      </c>
      <c r="O60" s="582">
        <v>0</v>
      </c>
      <c r="P60" s="586">
        <v>0</v>
      </c>
      <c r="Q60" s="582">
        <v>0</v>
      </c>
      <c r="R60" s="586">
        <v>0</v>
      </c>
      <c r="S60" s="582">
        <v>0</v>
      </c>
      <c r="T60" s="582">
        <v>0</v>
      </c>
      <c r="U60" s="582">
        <v>0</v>
      </c>
      <c r="V60" s="582">
        <v>0</v>
      </c>
      <c r="W60" s="582">
        <v>0</v>
      </c>
      <c r="X60" s="587">
        <v>0</v>
      </c>
      <c r="Y60" s="582">
        <v>0</v>
      </c>
      <c r="Z60" s="587">
        <v>0</v>
      </c>
      <c r="AA60" s="587">
        <v>0</v>
      </c>
      <c r="AB60" s="582">
        <v>0</v>
      </c>
      <c r="AC60" s="582">
        <v>421868</v>
      </c>
      <c r="AD60" s="589">
        <v>210934</v>
      </c>
      <c r="AE60" s="582">
        <v>1831719</v>
      </c>
      <c r="AF60" s="589">
        <v>915860</v>
      </c>
      <c r="AG60" s="582">
        <v>3278963</v>
      </c>
      <c r="AH60" s="587">
        <v>1639482</v>
      </c>
      <c r="AI60" s="582">
        <v>2729715</v>
      </c>
      <c r="AJ60" s="582">
        <v>1364857</v>
      </c>
      <c r="AK60" s="590">
        <v>878351</v>
      </c>
      <c r="AL60" s="591">
        <v>439176</v>
      </c>
      <c r="AM60" s="590">
        <v>59502</v>
      </c>
      <c r="AN60" s="590">
        <v>29751</v>
      </c>
      <c r="AO60" s="590" t="s">
        <v>164</v>
      </c>
      <c r="AP60" s="592" t="s">
        <v>164</v>
      </c>
    </row>
    <row r="61" spans="1:42" ht="17.25" customHeight="1" x14ac:dyDescent="0.15">
      <c r="A61" s="581" t="s">
        <v>338</v>
      </c>
      <c r="B61" s="579" t="s">
        <v>339</v>
      </c>
      <c r="C61" s="584"/>
      <c r="D61" s="584"/>
      <c r="E61" s="585"/>
      <c r="F61" s="584"/>
      <c r="G61" s="584"/>
      <c r="H61" s="584"/>
      <c r="I61" s="585"/>
      <c r="J61" s="584"/>
      <c r="K61" s="582"/>
      <c r="L61" s="582"/>
      <c r="M61" s="582"/>
      <c r="N61" s="582"/>
      <c r="O61" s="582"/>
      <c r="P61" s="586"/>
      <c r="Q61" s="582"/>
      <c r="R61" s="586"/>
      <c r="S61" s="582"/>
      <c r="T61" s="582"/>
      <c r="U61" s="582"/>
      <c r="V61" s="582"/>
      <c r="W61" s="582"/>
      <c r="X61" s="587"/>
      <c r="Y61" s="582"/>
      <c r="Z61" s="587"/>
      <c r="AA61" s="587"/>
      <c r="AB61" s="582"/>
      <c r="AC61" s="582"/>
      <c r="AD61" s="589"/>
      <c r="AE61" s="582"/>
      <c r="AF61" s="589"/>
      <c r="AG61" s="582">
        <v>0</v>
      </c>
      <c r="AH61" s="587">
        <v>0</v>
      </c>
      <c r="AI61" s="582">
        <v>0</v>
      </c>
      <c r="AJ61" s="582">
        <v>0</v>
      </c>
      <c r="AK61" s="590">
        <v>0</v>
      </c>
      <c r="AL61" s="591">
        <v>0</v>
      </c>
      <c r="AM61" s="590">
        <v>14729</v>
      </c>
      <c r="AN61" s="590">
        <v>0</v>
      </c>
      <c r="AO61" s="590">
        <v>12637</v>
      </c>
      <c r="AP61" s="592">
        <v>0</v>
      </c>
    </row>
    <row r="62" spans="1:42" ht="17.25" customHeight="1" x14ac:dyDescent="0.15">
      <c r="A62" s="581"/>
      <c r="B62" s="596" t="s">
        <v>340</v>
      </c>
      <c r="C62" s="584"/>
      <c r="D62" s="584"/>
      <c r="E62" s="585">
        <v>0</v>
      </c>
      <c r="F62" s="584">
        <v>0</v>
      </c>
      <c r="G62" s="584">
        <v>0</v>
      </c>
      <c r="H62" s="584">
        <v>0</v>
      </c>
      <c r="I62" s="585">
        <v>0</v>
      </c>
      <c r="J62" s="584">
        <v>0</v>
      </c>
      <c r="K62" s="582">
        <v>0</v>
      </c>
      <c r="L62" s="582">
        <v>0</v>
      </c>
      <c r="M62" s="582">
        <v>0</v>
      </c>
      <c r="N62" s="582">
        <v>0</v>
      </c>
      <c r="O62" s="582">
        <v>0</v>
      </c>
      <c r="P62" s="586">
        <v>0</v>
      </c>
      <c r="Q62" s="582">
        <v>0</v>
      </c>
      <c r="R62" s="586">
        <v>0</v>
      </c>
      <c r="S62" s="582">
        <v>0</v>
      </c>
      <c r="T62" s="582">
        <v>0</v>
      </c>
      <c r="U62" s="582">
        <v>0</v>
      </c>
      <c r="V62" s="582">
        <v>0</v>
      </c>
      <c r="W62" s="582">
        <v>0</v>
      </c>
      <c r="X62" s="582">
        <v>0</v>
      </c>
      <c r="Y62" s="582">
        <v>0</v>
      </c>
      <c r="Z62" s="582">
        <v>0</v>
      </c>
      <c r="AA62" s="587">
        <v>0</v>
      </c>
      <c r="AB62" s="582">
        <v>0</v>
      </c>
      <c r="AC62" s="582">
        <v>421868</v>
      </c>
      <c r="AD62" s="586">
        <v>210934</v>
      </c>
      <c r="AE62" s="582">
        <v>1831719</v>
      </c>
      <c r="AF62" s="586">
        <v>915860</v>
      </c>
      <c r="AG62" s="582">
        <v>0</v>
      </c>
      <c r="AH62" s="582">
        <v>0</v>
      </c>
      <c r="AI62" s="582">
        <v>0</v>
      </c>
      <c r="AJ62" s="582">
        <v>0</v>
      </c>
      <c r="AK62" s="582">
        <v>0</v>
      </c>
      <c r="AL62" s="586">
        <v>0</v>
      </c>
      <c r="AM62" s="582">
        <v>651418</v>
      </c>
      <c r="AN62" s="582">
        <v>0</v>
      </c>
      <c r="AO62" s="590">
        <v>1594317</v>
      </c>
      <c r="AP62" s="592">
        <v>0</v>
      </c>
    </row>
    <row r="63" spans="1:42" ht="18" customHeight="1" x14ac:dyDescent="0.15">
      <c r="A63" s="829" t="s">
        <v>58</v>
      </c>
      <c r="B63" s="830"/>
      <c r="C63" s="597">
        <v>1702459</v>
      </c>
      <c r="D63" s="597">
        <v>1137890</v>
      </c>
      <c r="E63" s="597">
        <f>SUM(E15:E27)+SUM(E29:E31)+SUM(E37:E56)+E11+E14</f>
        <v>2808617</v>
      </c>
      <c r="F63" s="597">
        <f>SUM(F15:F27)+SUM(F29:F31)+SUM(F37:F56)+F11+F14</f>
        <v>1539589</v>
      </c>
      <c r="G63" s="597">
        <f>SUM(G29:G31)+SUM(G37:G56)+G11+G14+G15+G20+G21+G27+G23</f>
        <v>2506585</v>
      </c>
      <c r="H63" s="597">
        <f>SUM(H29:H31)+SUM(H37:H56)+H11+H14+H15+H20+H21+H27+H23</f>
        <v>1388493</v>
      </c>
      <c r="I63" s="597">
        <f t="shared" ref="I63:X63" si="4">SUM(I29:I32)+SUM(I37:I58)+I11+I14+I15+I20+I21+I27+I23</f>
        <v>2506306</v>
      </c>
      <c r="J63" s="597">
        <f t="shared" si="4"/>
        <v>1405934</v>
      </c>
      <c r="K63" s="597">
        <f t="shared" si="4"/>
        <v>2517045</v>
      </c>
      <c r="L63" s="597">
        <f t="shared" si="4"/>
        <v>1360793</v>
      </c>
      <c r="M63" s="597">
        <f t="shared" si="4"/>
        <v>2969995</v>
      </c>
      <c r="N63" s="597">
        <f t="shared" si="4"/>
        <v>1784549</v>
      </c>
      <c r="O63" s="597">
        <f t="shared" si="4"/>
        <v>3044256</v>
      </c>
      <c r="P63" s="598">
        <f t="shared" si="4"/>
        <v>1502440</v>
      </c>
      <c r="Q63" s="597">
        <f t="shared" si="4"/>
        <v>2481953</v>
      </c>
      <c r="R63" s="598">
        <f t="shared" si="4"/>
        <v>1204191</v>
      </c>
      <c r="S63" s="597">
        <f t="shared" si="4"/>
        <v>1956044</v>
      </c>
      <c r="T63" s="597">
        <f t="shared" si="4"/>
        <v>929736</v>
      </c>
      <c r="U63" s="597">
        <f t="shared" si="4"/>
        <v>1620350</v>
      </c>
      <c r="V63" s="597">
        <f t="shared" si="4"/>
        <v>733173</v>
      </c>
      <c r="W63" s="597">
        <f t="shared" si="4"/>
        <v>2258204</v>
      </c>
      <c r="X63" s="597">
        <f t="shared" si="4"/>
        <v>1204184</v>
      </c>
      <c r="Y63" s="597">
        <f t="shared" ref="Y63:AP63" si="5">SUM(Y12:Y62)-Y14-Y20</f>
        <v>4900385</v>
      </c>
      <c r="Z63" s="598">
        <f t="shared" si="5"/>
        <v>2984775</v>
      </c>
      <c r="AA63" s="597">
        <f t="shared" si="5"/>
        <v>6328564</v>
      </c>
      <c r="AB63" s="597">
        <f t="shared" si="5"/>
        <v>3967999</v>
      </c>
      <c r="AC63" s="597">
        <f t="shared" si="5"/>
        <v>5801098</v>
      </c>
      <c r="AD63" s="597">
        <f t="shared" si="5"/>
        <v>3473732</v>
      </c>
      <c r="AE63" s="597">
        <f t="shared" si="5"/>
        <v>6463415</v>
      </c>
      <c r="AF63" s="598">
        <f t="shared" si="5"/>
        <v>3451251</v>
      </c>
      <c r="AG63" s="597">
        <f t="shared" si="5"/>
        <v>6054361</v>
      </c>
      <c r="AH63" s="597">
        <f t="shared" si="5"/>
        <v>2394452</v>
      </c>
      <c r="AI63" s="597">
        <f t="shared" si="5"/>
        <v>8899806</v>
      </c>
      <c r="AJ63" s="597">
        <f t="shared" si="5"/>
        <v>2129666</v>
      </c>
      <c r="AK63" s="597">
        <f t="shared" si="5"/>
        <v>6230717</v>
      </c>
      <c r="AL63" s="598">
        <f t="shared" si="5"/>
        <v>1200497</v>
      </c>
      <c r="AM63" s="597">
        <f t="shared" si="5"/>
        <v>5226684</v>
      </c>
      <c r="AN63" s="597">
        <f t="shared" si="5"/>
        <v>624604</v>
      </c>
      <c r="AO63" s="597">
        <f>SUM(AO12:AO62)-AO14-AO20</f>
        <v>4321492</v>
      </c>
      <c r="AP63" s="599">
        <f t="shared" si="5"/>
        <v>547091</v>
      </c>
    </row>
    <row r="64" spans="1:42" ht="18" customHeight="1" thickBot="1" x14ac:dyDescent="0.2">
      <c r="A64" s="820" t="s">
        <v>30</v>
      </c>
      <c r="B64" s="821"/>
      <c r="C64" s="600">
        <v>62.5</v>
      </c>
      <c r="D64" s="600">
        <v>59.5</v>
      </c>
      <c r="E64" s="601">
        <f>ROUND((E63/C63)*100,1)</f>
        <v>165</v>
      </c>
      <c r="F64" s="600">
        <f>ROUND((F63/D63)*100,1)</f>
        <v>135.30000000000001</v>
      </c>
      <c r="G64" s="600">
        <f t="shared" ref="G64:AH64" si="6">ROUND((G63/E63)*100,1)</f>
        <v>89.2</v>
      </c>
      <c r="H64" s="600">
        <f t="shared" si="6"/>
        <v>90.2</v>
      </c>
      <c r="I64" s="600">
        <f t="shared" si="6"/>
        <v>100</v>
      </c>
      <c r="J64" s="600">
        <f t="shared" si="6"/>
        <v>101.3</v>
      </c>
      <c r="K64" s="600">
        <f>ROUND((K63/I63)*100,1)</f>
        <v>100.4</v>
      </c>
      <c r="L64" s="600">
        <f t="shared" si="6"/>
        <v>96.8</v>
      </c>
      <c r="M64" s="600">
        <f t="shared" si="6"/>
        <v>118</v>
      </c>
      <c r="N64" s="600">
        <f t="shared" si="6"/>
        <v>131.1</v>
      </c>
      <c r="O64" s="600">
        <f t="shared" si="6"/>
        <v>102.5</v>
      </c>
      <c r="P64" s="600">
        <f t="shared" si="6"/>
        <v>84.2</v>
      </c>
      <c r="Q64" s="600">
        <f t="shared" si="6"/>
        <v>81.5</v>
      </c>
      <c r="R64" s="601">
        <f t="shared" si="6"/>
        <v>80.099999999999994</v>
      </c>
      <c r="S64" s="600">
        <f t="shared" si="6"/>
        <v>78.8</v>
      </c>
      <c r="T64" s="601">
        <f t="shared" si="6"/>
        <v>77.2</v>
      </c>
      <c r="U64" s="600">
        <f t="shared" si="6"/>
        <v>82.8</v>
      </c>
      <c r="V64" s="600">
        <f t="shared" si="6"/>
        <v>78.900000000000006</v>
      </c>
      <c r="W64" s="600">
        <f t="shared" si="6"/>
        <v>139.4</v>
      </c>
      <c r="X64" s="600">
        <f t="shared" si="6"/>
        <v>164.2</v>
      </c>
      <c r="Y64" s="602">
        <f t="shared" si="6"/>
        <v>217</v>
      </c>
      <c r="Z64" s="603">
        <f t="shared" si="6"/>
        <v>247.9</v>
      </c>
      <c r="AA64" s="602">
        <f>ROUND((AA63/Y63)*100,1)</f>
        <v>129.1</v>
      </c>
      <c r="AB64" s="604">
        <f>ROUND((AB63/Z63)*100,1)</f>
        <v>132.9</v>
      </c>
      <c r="AC64" s="602">
        <f t="shared" si="6"/>
        <v>91.7</v>
      </c>
      <c r="AD64" s="603">
        <f t="shared" si="6"/>
        <v>87.5</v>
      </c>
      <c r="AE64" s="602">
        <f>ROUND((AE63/AC63)*100,1)</f>
        <v>111.4</v>
      </c>
      <c r="AF64" s="603">
        <f t="shared" si="6"/>
        <v>99.4</v>
      </c>
      <c r="AG64" s="602">
        <f>ROUND((AG63/AE63)*100,1)</f>
        <v>93.7</v>
      </c>
      <c r="AH64" s="604">
        <f t="shared" si="6"/>
        <v>69.400000000000006</v>
      </c>
      <c r="AI64" s="602">
        <f>ROUND((AI63/AE63)*100,1)</f>
        <v>137.69999999999999</v>
      </c>
      <c r="AJ64" s="602">
        <f t="shared" ref="AJ64:AP64" si="7">ROUND((AJ63/AH63)*100,1)</f>
        <v>88.9</v>
      </c>
      <c r="AK64" s="602">
        <f t="shared" si="7"/>
        <v>70</v>
      </c>
      <c r="AL64" s="605">
        <f t="shared" si="7"/>
        <v>56.4</v>
      </c>
      <c r="AM64" s="602">
        <f t="shared" si="7"/>
        <v>83.9</v>
      </c>
      <c r="AN64" s="602">
        <f t="shared" si="7"/>
        <v>52</v>
      </c>
      <c r="AO64" s="602">
        <f t="shared" si="7"/>
        <v>82.7</v>
      </c>
      <c r="AP64" s="606">
        <f t="shared" si="7"/>
        <v>87.6</v>
      </c>
    </row>
    <row r="65" spans="1:4" x14ac:dyDescent="0.15">
      <c r="A65" s="111" t="s">
        <v>341</v>
      </c>
    </row>
    <row r="66" spans="1:4" x14ac:dyDescent="0.15">
      <c r="D66" s="111" t="s">
        <v>101</v>
      </c>
    </row>
    <row r="67" spans="1:4" x14ac:dyDescent="0.15">
      <c r="C67" s="111" t="s">
        <v>101</v>
      </c>
    </row>
  </sheetData>
  <mergeCells count="25">
    <mergeCell ref="A64:B64"/>
    <mergeCell ref="AK4:AL4"/>
    <mergeCell ref="AM4:AN4"/>
    <mergeCell ref="AO4:AP4"/>
    <mergeCell ref="A17:A20"/>
    <mergeCell ref="A25:A26"/>
    <mergeCell ref="A63:B63"/>
    <mergeCell ref="Y4:Z4"/>
    <mergeCell ref="AA4:AB4"/>
    <mergeCell ref="AC4:AD4"/>
    <mergeCell ref="AE4:AF4"/>
    <mergeCell ref="AG4:AH4"/>
    <mergeCell ref="AI4:AJ4"/>
    <mergeCell ref="M4:N4"/>
    <mergeCell ref="O4:P4"/>
    <mergeCell ref="Q4:R4"/>
    <mergeCell ref="S4:T4"/>
    <mergeCell ref="U4:V4"/>
    <mergeCell ref="W4:X4"/>
    <mergeCell ref="A4:B5"/>
    <mergeCell ref="C4:D4"/>
    <mergeCell ref="E4:F4"/>
    <mergeCell ref="G4:H4"/>
    <mergeCell ref="I4:J4"/>
    <mergeCell ref="K4:L4"/>
  </mergeCells>
  <phoneticPr fontId="4"/>
  <pageMargins left="0.78740157480314965" right="0.59055118110236227" top="0.39370078740157483" bottom="0.19685039370078741" header="0.59055118110236227" footer="0.19685039370078741"/>
  <pageSetup paperSize="9" scale="75" fitToWidth="0" orientation="landscape" r:id="rId1"/>
  <headerFooter scaleWithDoc="0">
    <oddFooter xml:space="preserve">&amp;C&amp;14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C7E5-88A1-47FA-BCCF-8C33FEA69374}">
  <sheetPr>
    <pageSetUpPr autoPageBreaks="0"/>
  </sheetPr>
  <dimension ref="A1:H64"/>
  <sheetViews>
    <sheetView showGridLines="0" view="pageBreakPreview" zoomScale="85" zoomScaleNormal="100" zoomScaleSheetLayoutView="85" workbookViewId="0"/>
  </sheetViews>
  <sheetFormatPr defaultRowHeight="22.5" customHeight="1" x14ac:dyDescent="0.15"/>
  <cols>
    <col min="1" max="1" width="11.125" style="609" bestFit="1" customWidth="1"/>
    <col min="2" max="2" width="11" style="609" bestFit="1" customWidth="1"/>
    <col min="3" max="3" width="15.25" style="609" bestFit="1" customWidth="1"/>
    <col min="4" max="4" width="12.375" style="609" bestFit="1" customWidth="1"/>
    <col min="5" max="5" width="9.75" style="609" bestFit="1" customWidth="1"/>
    <col min="6" max="6" width="9.125" style="609" bestFit="1" customWidth="1"/>
    <col min="7" max="7" width="11.125" style="609" bestFit="1" customWidth="1"/>
    <col min="8" max="8" width="9.125" style="609" bestFit="1" customWidth="1"/>
    <col min="9" max="256" width="9" style="609"/>
    <col min="257" max="257" width="11.125" style="609" bestFit="1" customWidth="1"/>
    <col min="258" max="258" width="11" style="609" bestFit="1" customWidth="1"/>
    <col min="259" max="259" width="15.25" style="609" bestFit="1" customWidth="1"/>
    <col min="260" max="260" width="12.375" style="609" bestFit="1" customWidth="1"/>
    <col min="261" max="261" width="9.75" style="609" bestFit="1" customWidth="1"/>
    <col min="262" max="262" width="9.125" style="609" bestFit="1" customWidth="1"/>
    <col min="263" max="263" width="11.125" style="609" bestFit="1" customWidth="1"/>
    <col min="264" max="264" width="9.125" style="609" bestFit="1" customWidth="1"/>
    <col min="265" max="512" width="9" style="609"/>
    <col min="513" max="513" width="11.125" style="609" bestFit="1" customWidth="1"/>
    <col min="514" max="514" width="11" style="609" bestFit="1" customWidth="1"/>
    <col min="515" max="515" width="15.25" style="609" bestFit="1" customWidth="1"/>
    <col min="516" max="516" width="12.375" style="609" bestFit="1" customWidth="1"/>
    <col min="517" max="517" width="9.75" style="609" bestFit="1" customWidth="1"/>
    <col min="518" max="518" width="9.125" style="609" bestFit="1" customWidth="1"/>
    <col min="519" max="519" width="11.125" style="609" bestFit="1" customWidth="1"/>
    <col min="520" max="520" width="9.125" style="609" bestFit="1" customWidth="1"/>
    <col min="521" max="768" width="9" style="609"/>
    <col min="769" max="769" width="11.125" style="609" bestFit="1" customWidth="1"/>
    <col min="770" max="770" width="11" style="609" bestFit="1" customWidth="1"/>
    <col min="771" max="771" width="15.25" style="609" bestFit="1" customWidth="1"/>
    <col min="772" max="772" width="12.375" style="609" bestFit="1" customWidth="1"/>
    <col min="773" max="773" width="9.75" style="609" bestFit="1" customWidth="1"/>
    <col min="774" max="774" width="9.125" style="609" bestFit="1" customWidth="1"/>
    <col min="775" max="775" width="11.125" style="609" bestFit="1" customWidth="1"/>
    <col min="776" max="776" width="9.125" style="609" bestFit="1" customWidth="1"/>
    <col min="777" max="1024" width="9" style="609"/>
    <col min="1025" max="1025" width="11.125" style="609" bestFit="1" customWidth="1"/>
    <col min="1026" max="1026" width="11" style="609" bestFit="1" customWidth="1"/>
    <col min="1027" max="1027" width="15.25" style="609" bestFit="1" customWidth="1"/>
    <col min="1028" max="1028" width="12.375" style="609" bestFit="1" customWidth="1"/>
    <col min="1029" max="1029" width="9.75" style="609" bestFit="1" customWidth="1"/>
    <col min="1030" max="1030" width="9.125" style="609" bestFit="1" customWidth="1"/>
    <col min="1031" max="1031" width="11.125" style="609" bestFit="1" customWidth="1"/>
    <col min="1032" max="1032" width="9.125" style="609" bestFit="1" customWidth="1"/>
    <col min="1033" max="1280" width="9" style="609"/>
    <col min="1281" max="1281" width="11.125" style="609" bestFit="1" customWidth="1"/>
    <col min="1282" max="1282" width="11" style="609" bestFit="1" customWidth="1"/>
    <col min="1283" max="1283" width="15.25" style="609" bestFit="1" customWidth="1"/>
    <col min="1284" max="1284" width="12.375" style="609" bestFit="1" customWidth="1"/>
    <col min="1285" max="1285" width="9.75" style="609" bestFit="1" customWidth="1"/>
    <col min="1286" max="1286" width="9.125" style="609" bestFit="1" customWidth="1"/>
    <col min="1287" max="1287" width="11.125" style="609" bestFit="1" customWidth="1"/>
    <col min="1288" max="1288" width="9.125" style="609" bestFit="1" customWidth="1"/>
    <col min="1289" max="1536" width="9" style="609"/>
    <col min="1537" max="1537" width="11.125" style="609" bestFit="1" customWidth="1"/>
    <col min="1538" max="1538" width="11" style="609" bestFit="1" customWidth="1"/>
    <col min="1539" max="1539" width="15.25" style="609" bestFit="1" customWidth="1"/>
    <col min="1540" max="1540" width="12.375" style="609" bestFit="1" customWidth="1"/>
    <col min="1541" max="1541" width="9.75" style="609" bestFit="1" customWidth="1"/>
    <col min="1542" max="1542" width="9.125" style="609" bestFit="1" customWidth="1"/>
    <col min="1543" max="1543" width="11.125" style="609" bestFit="1" customWidth="1"/>
    <col min="1544" max="1544" width="9.125" style="609" bestFit="1" customWidth="1"/>
    <col min="1545" max="1792" width="9" style="609"/>
    <col min="1793" max="1793" width="11.125" style="609" bestFit="1" customWidth="1"/>
    <col min="1794" max="1794" width="11" style="609" bestFit="1" customWidth="1"/>
    <col min="1795" max="1795" width="15.25" style="609" bestFit="1" customWidth="1"/>
    <col min="1796" max="1796" width="12.375" style="609" bestFit="1" customWidth="1"/>
    <col min="1797" max="1797" width="9.75" style="609" bestFit="1" customWidth="1"/>
    <col min="1798" max="1798" width="9.125" style="609" bestFit="1" customWidth="1"/>
    <col min="1799" max="1799" width="11.125" style="609" bestFit="1" customWidth="1"/>
    <col min="1800" max="1800" width="9.125" style="609" bestFit="1" customWidth="1"/>
    <col min="1801" max="2048" width="9" style="609"/>
    <col min="2049" max="2049" width="11.125" style="609" bestFit="1" customWidth="1"/>
    <col min="2050" max="2050" width="11" style="609" bestFit="1" customWidth="1"/>
    <col min="2051" max="2051" width="15.25" style="609" bestFit="1" customWidth="1"/>
    <col min="2052" max="2052" width="12.375" style="609" bestFit="1" customWidth="1"/>
    <col min="2053" max="2053" width="9.75" style="609" bestFit="1" customWidth="1"/>
    <col min="2054" max="2054" width="9.125" style="609" bestFit="1" customWidth="1"/>
    <col min="2055" max="2055" width="11.125" style="609" bestFit="1" customWidth="1"/>
    <col min="2056" max="2056" width="9.125" style="609" bestFit="1" customWidth="1"/>
    <col min="2057" max="2304" width="9" style="609"/>
    <col min="2305" max="2305" width="11.125" style="609" bestFit="1" customWidth="1"/>
    <col min="2306" max="2306" width="11" style="609" bestFit="1" customWidth="1"/>
    <col min="2307" max="2307" width="15.25" style="609" bestFit="1" customWidth="1"/>
    <col min="2308" max="2308" width="12.375" style="609" bestFit="1" customWidth="1"/>
    <col min="2309" max="2309" width="9.75" style="609" bestFit="1" customWidth="1"/>
    <col min="2310" max="2310" width="9.125" style="609" bestFit="1" customWidth="1"/>
    <col min="2311" max="2311" width="11.125" style="609" bestFit="1" customWidth="1"/>
    <col min="2312" max="2312" width="9.125" style="609" bestFit="1" customWidth="1"/>
    <col min="2313" max="2560" width="9" style="609"/>
    <col min="2561" max="2561" width="11.125" style="609" bestFit="1" customWidth="1"/>
    <col min="2562" max="2562" width="11" style="609" bestFit="1" customWidth="1"/>
    <col min="2563" max="2563" width="15.25" style="609" bestFit="1" customWidth="1"/>
    <col min="2564" max="2564" width="12.375" style="609" bestFit="1" customWidth="1"/>
    <col min="2565" max="2565" width="9.75" style="609" bestFit="1" customWidth="1"/>
    <col min="2566" max="2566" width="9.125" style="609" bestFit="1" customWidth="1"/>
    <col min="2567" max="2567" width="11.125" style="609" bestFit="1" customWidth="1"/>
    <col min="2568" max="2568" width="9.125" style="609" bestFit="1" customWidth="1"/>
    <col min="2569" max="2816" width="9" style="609"/>
    <col min="2817" max="2817" width="11.125" style="609" bestFit="1" customWidth="1"/>
    <col min="2818" max="2818" width="11" style="609" bestFit="1" customWidth="1"/>
    <col min="2819" max="2819" width="15.25" style="609" bestFit="1" customWidth="1"/>
    <col min="2820" max="2820" width="12.375" style="609" bestFit="1" customWidth="1"/>
    <col min="2821" max="2821" width="9.75" style="609" bestFit="1" customWidth="1"/>
    <col min="2822" max="2822" width="9.125" style="609" bestFit="1" customWidth="1"/>
    <col min="2823" max="2823" width="11.125" style="609" bestFit="1" customWidth="1"/>
    <col min="2824" max="2824" width="9.125" style="609" bestFit="1" customWidth="1"/>
    <col min="2825" max="3072" width="9" style="609"/>
    <col min="3073" max="3073" width="11.125" style="609" bestFit="1" customWidth="1"/>
    <col min="3074" max="3074" width="11" style="609" bestFit="1" customWidth="1"/>
    <col min="3075" max="3075" width="15.25" style="609" bestFit="1" customWidth="1"/>
    <col min="3076" max="3076" width="12.375" style="609" bestFit="1" customWidth="1"/>
    <col min="3077" max="3077" width="9.75" style="609" bestFit="1" customWidth="1"/>
    <col min="3078" max="3078" width="9.125" style="609" bestFit="1" customWidth="1"/>
    <col min="3079" max="3079" width="11.125" style="609" bestFit="1" customWidth="1"/>
    <col min="3080" max="3080" width="9.125" style="609" bestFit="1" customWidth="1"/>
    <col min="3081" max="3328" width="9" style="609"/>
    <col min="3329" max="3329" width="11.125" style="609" bestFit="1" customWidth="1"/>
    <col min="3330" max="3330" width="11" style="609" bestFit="1" customWidth="1"/>
    <col min="3331" max="3331" width="15.25" style="609" bestFit="1" customWidth="1"/>
    <col min="3332" max="3332" width="12.375" style="609" bestFit="1" customWidth="1"/>
    <col min="3333" max="3333" width="9.75" style="609" bestFit="1" customWidth="1"/>
    <col min="3334" max="3334" width="9.125" style="609" bestFit="1" customWidth="1"/>
    <col min="3335" max="3335" width="11.125" style="609" bestFit="1" customWidth="1"/>
    <col min="3336" max="3336" width="9.125" style="609" bestFit="1" customWidth="1"/>
    <col min="3337" max="3584" width="9" style="609"/>
    <col min="3585" max="3585" width="11.125" style="609" bestFit="1" customWidth="1"/>
    <col min="3586" max="3586" width="11" style="609" bestFit="1" customWidth="1"/>
    <col min="3587" max="3587" width="15.25" style="609" bestFit="1" customWidth="1"/>
    <col min="3588" max="3588" width="12.375" style="609" bestFit="1" customWidth="1"/>
    <col min="3589" max="3589" width="9.75" style="609" bestFit="1" customWidth="1"/>
    <col min="3590" max="3590" width="9.125" style="609" bestFit="1" customWidth="1"/>
    <col min="3591" max="3591" width="11.125" style="609" bestFit="1" customWidth="1"/>
    <col min="3592" max="3592" width="9.125" style="609" bestFit="1" customWidth="1"/>
    <col min="3593" max="3840" width="9" style="609"/>
    <col min="3841" max="3841" width="11.125" style="609" bestFit="1" customWidth="1"/>
    <col min="3842" max="3842" width="11" style="609" bestFit="1" customWidth="1"/>
    <col min="3843" max="3843" width="15.25" style="609" bestFit="1" customWidth="1"/>
    <col min="3844" max="3844" width="12.375" style="609" bestFit="1" customWidth="1"/>
    <col min="3845" max="3845" width="9.75" style="609" bestFit="1" customWidth="1"/>
    <col min="3846" max="3846" width="9.125" style="609" bestFit="1" customWidth="1"/>
    <col min="3847" max="3847" width="11.125" style="609" bestFit="1" customWidth="1"/>
    <col min="3848" max="3848" width="9.125" style="609" bestFit="1" customWidth="1"/>
    <col min="3849" max="4096" width="9" style="609"/>
    <col min="4097" max="4097" width="11.125" style="609" bestFit="1" customWidth="1"/>
    <col min="4098" max="4098" width="11" style="609" bestFit="1" customWidth="1"/>
    <col min="4099" max="4099" width="15.25" style="609" bestFit="1" customWidth="1"/>
    <col min="4100" max="4100" width="12.375" style="609" bestFit="1" customWidth="1"/>
    <col min="4101" max="4101" width="9.75" style="609" bestFit="1" customWidth="1"/>
    <col min="4102" max="4102" width="9.125" style="609" bestFit="1" customWidth="1"/>
    <col min="4103" max="4103" width="11.125" style="609" bestFit="1" customWidth="1"/>
    <col min="4104" max="4104" width="9.125" style="609" bestFit="1" customWidth="1"/>
    <col min="4105" max="4352" width="9" style="609"/>
    <col min="4353" max="4353" width="11.125" style="609" bestFit="1" customWidth="1"/>
    <col min="4354" max="4354" width="11" style="609" bestFit="1" customWidth="1"/>
    <col min="4355" max="4355" width="15.25" style="609" bestFit="1" customWidth="1"/>
    <col min="4356" max="4356" width="12.375" style="609" bestFit="1" customWidth="1"/>
    <col min="4357" max="4357" width="9.75" style="609" bestFit="1" customWidth="1"/>
    <col min="4358" max="4358" width="9.125" style="609" bestFit="1" customWidth="1"/>
    <col min="4359" max="4359" width="11.125" style="609" bestFit="1" customWidth="1"/>
    <col min="4360" max="4360" width="9.125" style="609" bestFit="1" customWidth="1"/>
    <col min="4361" max="4608" width="9" style="609"/>
    <col min="4609" max="4609" width="11.125" style="609" bestFit="1" customWidth="1"/>
    <col min="4610" max="4610" width="11" style="609" bestFit="1" customWidth="1"/>
    <col min="4611" max="4611" width="15.25" style="609" bestFit="1" customWidth="1"/>
    <col min="4612" max="4612" width="12.375" style="609" bestFit="1" customWidth="1"/>
    <col min="4613" max="4613" width="9.75" style="609" bestFit="1" customWidth="1"/>
    <col min="4614" max="4614" width="9.125" style="609" bestFit="1" customWidth="1"/>
    <col min="4615" max="4615" width="11.125" style="609" bestFit="1" customWidth="1"/>
    <col min="4616" max="4616" width="9.125" style="609" bestFit="1" customWidth="1"/>
    <col min="4617" max="4864" width="9" style="609"/>
    <col min="4865" max="4865" width="11.125" style="609" bestFit="1" customWidth="1"/>
    <col min="4866" max="4866" width="11" style="609" bestFit="1" customWidth="1"/>
    <col min="4867" max="4867" width="15.25" style="609" bestFit="1" customWidth="1"/>
    <col min="4868" max="4868" width="12.375" style="609" bestFit="1" customWidth="1"/>
    <col min="4869" max="4869" width="9.75" style="609" bestFit="1" customWidth="1"/>
    <col min="4870" max="4870" width="9.125" style="609" bestFit="1" customWidth="1"/>
    <col min="4871" max="4871" width="11.125" style="609" bestFit="1" customWidth="1"/>
    <col min="4872" max="4872" width="9.125" style="609" bestFit="1" customWidth="1"/>
    <col min="4873" max="5120" width="9" style="609"/>
    <col min="5121" max="5121" width="11.125" style="609" bestFit="1" customWidth="1"/>
    <col min="5122" max="5122" width="11" style="609" bestFit="1" customWidth="1"/>
    <col min="5123" max="5123" width="15.25" style="609" bestFit="1" customWidth="1"/>
    <col min="5124" max="5124" width="12.375" style="609" bestFit="1" customWidth="1"/>
    <col min="5125" max="5125" width="9.75" style="609" bestFit="1" customWidth="1"/>
    <col min="5126" max="5126" width="9.125" style="609" bestFit="1" customWidth="1"/>
    <col min="5127" max="5127" width="11.125" style="609" bestFit="1" customWidth="1"/>
    <col min="5128" max="5128" width="9.125" style="609" bestFit="1" customWidth="1"/>
    <col min="5129" max="5376" width="9" style="609"/>
    <col min="5377" max="5377" width="11.125" style="609" bestFit="1" customWidth="1"/>
    <col min="5378" max="5378" width="11" style="609" bestFit="1" customWidth="1"/>
    <col min="5379" max="5379" width="15.25" style="609" bestFit="1" customWidth="1"/>
    <col min="5380" max="5380" width="12.375" style="609" bestFit="1" customWidth="1"/>
    <col min="5381" max="5381" width="9.75" style="609" bestFit="1" customWidth="1"/>
    <col min="5382" max="5382" width="9.125" style="609" bestFit="1" customWidth="1"/>
    <col min="5383" max="5383" width="11.125" style="609" bestFit="1" customWidth="1"/>
    <col min="5384" max="5384" width="9.125" style="609" bestFit="1" customWidth="1"/>
    <col min="5385" max="5632" width="9" style="609"/>
    <col min="5633" max="5633" width="11.125" style="609" bestFit="1" customWidth="1"/>
    <col min="5634" max="5634" width="11" style="609" bestFit="1" customWidth="1"/>
    <col min="5635" max="5635" width="15.25" style="609" bestFit="1" customWidth="1"/>
    <col min="5636" max="5636" width="12.375" style="609" bestFit="1" customWidth="1"/>
    <col min="5637" max="5637" width="9.75" style="609" bestFit="1" customWidth="1"/>
    <col min="5638" max="5638" width="9.125" style="609" bestFit="1" customWidth="1"/>
    <col min="5639" max="5639" width="11.125" style="609" bestFit="1" customWidth="1"/>
    <col min="5640" max="5640" width="9.125" style="609" bestFit="1" customWidth="1"/>
    <col min="5641" max="5888" width="9" style="609"/>
    <col min="5889" max="5889" width="11.125" style="609" bestFit="1" customWidth="1"/>
    <col min="5890" max="5890" width="11" style="609" bestFit="1" customWidth="1"/>
    <col min="5891" max="5891" width="15.25" style="609" bestFit="1" customWidth="1"/>
    <col min="5892" max="5892" width="12.375" style="609" bestFit="1" customWidth="1"/>
    <col min="5893" max="5893" width="9.75" style="609" bestFit="1" customWidth="1"/>
    <col min="5894" max="5894" width="9.125" style="609" bestFit="1" customWidth="1"/>
    <col min="5895" max="5895" width="11.125" style="609" bestFit="1" customWidth="1"/>
    <col min="5896" max="5896" width="9.125" style="609" bestFit="1" customWidth="1"/>
    <col min="5897" max="6144" width="9" style="609"/>
    <col min="6145" max="6145" width="11.125" style="609" bestFit="1" customWidth="1"/>
    <col min="6146" max="6146" width="11" style="609" bestFit="1" customWidth="1"/>
    <col min="6147" max="6147" width="15.25" style="609" bestFit="1" customWidth="1"/>
    <col min="6148" max="6148" width="12.375" style="609" bestFit="1" customWidth="1"/>
    <col min="6149" max="6149" width="9.75" style="609" bestFit="1" customWidth="1"/>
    <col min="6150" max="6150" width="9.125" style="609" bestFit="1" customWidth="1"/>
    <col min="6151" max="6151" width="11.125" style="609" bestFit="1" customWidth="1"/>
    <col min="6152" max="6152" width="9.125" style="609" bestFit="1" customWidth="1"/>
    <col min="6153" max="6400" width="9" style="609"/>
    <col min="6401" max="6401" width="11.125" style="609" bestFit="1" customWidth="1"/>
    <col min="6402" max="6402" width="11" style="609" bestFit="1" customWidth="1"/>
    <col min="6403" max="6403" width="15.25" style="609" bestFit="1" customWidth="1"/>
    <col min="6404" max="6404" width="12.375" style="609" bestFit="1" customWidth="1"/>
    <col min="6405" max="6405" width="9.75" style="609" bestFit="1" customWidth="1"/>
    <col min="6406" max="6406" width="9.125" style="609" bestFit="1" customWidth="1"/>
    <col min="6407" max="6407" width="11.125" style="609" bestFit="1" customWidth="1"/>
    <col min="6408" max="6408" width="9.125" style="609" bestFit="1" customWidth="1"/>
    <col min="6409" max="6656" width="9" style="609"/>
    <col min="6657" max="6657" width="11.125" style="609" bestFit="1" customWidth="1"/>
    <col min="6658" max="6658" width="11" style="609" bestFit="1" customWidth="1"/>
    <col min="6659" max="6659" width="15.25" style="609" bestFit="1" customWidth="1"/>
    <col min="6660" max="6660" width="12.375" style="609" bestFit="1" customWidth="1"/>
    <col min="6661" max="6661" width="9.75" style="609" bestFit="1" customWidth="1"/>
    <col min="6662" max="6662" width="9.125" style="609" bestFit="1" customWidth="1"/>
    <col min="6663" max="6663" width="11.125" style="609" bestFit="1" customWidth="1"/>
    <col min="6664" max="6664" width="9.125" style="609" bestFit="1" customWidth="1"/>
    <col min="6665" max="6912" width="9" style="609"/>
    <col min="6913" max="6913" width="11.125" style="609" bestFit="1" customWidth="1"/>
    <col min="6914" max="6914" width="11" style="609" bestFit="1" customWidth="1"/>
    <col min="6915" max="6915" width="15.25" style="609" bestFit="1" customWidth="1"/>
    <col min="6916" max="6916" width="12.375" style="609" bestFit="1" customWidth="1"/>
    <col min="6917" max="6917" width="9.75" style="609" bestFit="1" customWidth="1"/>
    <col min="6918" max="6918" width="9.125" style="609" bestFit="1" customWidth="1"/>
    <col min="6919" max="6919" width="11.125" style="609" bestFit="1" customWidth="1"/>
    <col min="6920" max="6920" width="9.125" style="609" bestFit="1" customWidth="1"/>
    <col min="6921" max="7168" width="9" style="609"/>
    <col min="7169" max="7169" width="11.125" style="609" bestFit="1" customWidth="1"/>
    <col min="7170" max="7170" width="11" style="609" bestFit="1" customWidth="1"/>
    <col min="7171" max="7171" width="15.25" style="609" bestFit="1" customWidth="1"/>
    <col min="7172" max="7172" width="12.375" style="609" bestFit="1" customWidth="1"/>
    <col min="7173" max="7173" width="9.75" style="609" bestFit="1" customWidth="1"/>
    <col min="7174" max="7174" width="9.125" style="609" bestFit="1" customWidth="1"/>
    <col min="7175" max="7175" width="11.125" style="609" bestFit="1" customWidth="1"/>
    <col min="7176" max="7176" width="9.125" style="609" bestFit="1" customWidth="1"/>
    <col min="7177" max="7424" width="9" style="609"/>
    <col min="7425" max="7425" width="11.125" style="609" bestFit="1" customWidth="1"/>
    <col min="7426" max="7426" width="11" style="609" bestFit="1" customWidth="1"/>
    <col min="7427" max="7427" width="15.25" style="609" bestFit="1" customWidth="1"/>
    <col min="7428" max="7428" width="12.375" style="609" bestFit="1" customWidth="1"/>
    <col min="7429" max="7429" width="9.75" style="609" bestFit="1" customWidth="1"/>
    <col min="7430" max="7430" width="9.125" style="609" bestFit="1" customWidth="1"/>
    <col min="7431" max="7431" width="11.125" style="609" bestFit="1" customWidth="1"/>
    <col min="7432" max="7432" width="9.125" style="609" bestFit="1" customWidth="1"/>
    <col min="7433" max="7680" width="9" style="609"/>
    <col min="7681" max="7681" width="11.125" style="609" bestFit="1" customWidth="1"/>
    <col min="7682" max="7682" width="11" style="609" bestFit="1" customWidth="1"/>
    <col min="7683" max="7683" width="15.25" style="609" bestFit="1" customWidth="1"/>
    <col min="7684" max="7684" width="12.375" style="609" bestFit="1" customWidth="1"/>
    <col min="7685" max="7685" width="9.75" style="609" bestFit="1" customWidth="1"/>
    <col min="7686" max="7686" width="9.125" style="609" bestFit="1" customWidth="1"/>
    <col min="7687" max="7687" width="11.125" style="609" bestFit="1" customWidth="1"/>
    <col min="7688" max="7688" width="9.125" style="609" bestFit="1" customWidth="1"/>
    <col min="7689" max="7936" width="9" style="609"/>
    <col min="7937" max="7937" width="11.125" style="609" bestFit="1" customWidth="1"/>
    <col min="7938" max="7938" width="11" style="609" bestFit="1" customWidth="1"/>
    <col min="7939" max="7939" width="15.25" style="609" bestFit="1" customWidth="1"/>
    <col min="7940" max="7940" width="12.375" style="609" bestFit="1" customWidth="1"/>
    <col min="7941" max="7941" width="9.75" style="609" bestFit="1" customWidth="1"/>
    <col min="7942" max="7942" width="9.125" style="609" bestFit="1" customWidth="1"/>
    <col min="7943" max="7943" width="11.125" style="609" bestFit="1" customWidth="1"/>
    <col min="7944" max="7944" width="9.125" style="609" bestFit="1" customWidth="1"/>
    <col min="7945" max="8192" width="9" style="609"/>
    <col min="8193" max="8193" width="11.125" style="609" bestFit="1" customWidth="1"/>
    <col min="8194" max="8194" width="11" style="609" bestFit="1" customWidth="1"/>
    <col min="8195" max="8195" width="15.25" style="609" bestFit="1" customWidth="1"/>
    <col min="8196" max="8196" width="12.375" style="609" bestFit="1" customWidth="1"/>
    <col min="8197" max="8197" width="9.75" style="609" bestFit="1" customWidth="1"/>
    <col min="8198" max="8198" width="9.125" style="609" bestFit="1" customWidth="1"/>
    <col min="8199" max="8199" width="11.125" style="609" bestFit="1" customWidth="1"/>
    <col min="8200" max="8200" width="9.125" style="609" bestFit="1" customWidth="1"/>
    <col min="8201" max="8448" width="9" style="609"/>
    <col min="8449" max="8449" width="11.125" style="609" bestFit="1" customWidth="1"/>
    <col min="8450" max="8450" width="11" style="609" bestFit="1" customWidth="1"/>
    <col min="8451" max="8451" width="15.25" style="609" bestFit="1" customWidth="1"/>
    <col min="8452" max="8452" width="12.375" style="609" bestFit="1" customWidth="1"/>
    <col min="8453" max="8453" width="9.75" style="609" bestFit="1" customWidth="1"/>
    <col min="8454" max="8454" width="9.125" style="609" bestFit="1" customWidth="1"/>
    <col min="8455" max="8455" width="11.125" style="609" bestFit="1" customWidth="1"/>
    <col min="8456" max="8456" width="9.125" style="609" bestFit="1" customWidth="1"/>
    <col min="8457" max="8704" width="9" style="609"/>
    <col min="8705" max="8705" width="11.125" style="609" bestFit="1" customWidth="1"/>
    <col min="8706" max="8706" width="11" style="609" bestFit="1" customWidth="1"/>
    <col min="8707" max="8707" width="15.25" style="609" bestFit="1" customWidth="1"/>
    <col min="8708" max="8708" width="12.375" style="609" bestFit="1" customWidth="1"/>
    <col min="8709" max="8709" width="9.75" style="609" bestFit="1" customWidth="1"/>
    <col min="8710" max="8710" width="9.125" style="609" bestFit="1" customWidth="1"/>
    <col min="8711" max="8711" width="11.125" style="609" bestFit="1" customWidth="1"/>
    <col min="8712" max="8712" width="9.125" style="609" bestFit="1" customWidth="1"/>
    <col min="8713" max="8960" width="9" style="609"/>
    <col min="8961" max="8961" width="11.125" style="609" bestFit="1" customWidth="1"/>
    <col min="8962" max="8962" width="11" style="609" bestFit="1" customWidth="1"/>
    <col min="8963" max="8963" width="15.25" style="609" bestFit="1" customWidth="1"/>
    <col min="8964" max="8964" width="12.375" style="609" bestFit="1" customWidth="1"/>
    <col min="8965" max="8965" width="9.75" style="609" bestFit="1" customWidth="1"/>
    <col min="8966" max="8966" width="9.125" style="609" bestFit="1" customWidth="1"/>
    <col min="8967" max="8967" width="11.125" style="609" bestFit="1" customWidth="1"/>
    <col min="8968" max="8968" width="9.125" style="609" bestFit="1" customWidth="1"/>
    <col min="8969" max="9216" width="9" style="609"/>
    <col min="9217" max="9217" width="11.125" style="609" bestFit="1" customWidth="1"/>
    <col min="9218" max="9218" width="11" style="609" bestFit="1" customWidth="1"/>
    <col min="9219" max="9219" width="15.25" style="609" bestFit="1" customWidth="1"/>
    <col min="9220" max="9220" width="12.375" style="609" bestFit="1" customWidth="1"/>
    <col min="9221" max="9221" width="9.75" style="609" bestFit="1" customWidth="1"/>
    <col min="9222" max="9222" width="9.125" style="609" bestFit="1" customWidth="1"/>
    <col min="9223" max="9223" width="11.125" style="609" bestFit="1" customWidth="1"/>
    <col min="9224" max="9224" width="9.125" style="609" bestFit="1" customWidth="1"/>
    <col min="9225" max="9472" width="9" style="609"/>
    <col min="9473" max="9473" width="11.125" style="609" bestFit="1" customWidth="1"/>
    <col min="9474" max="9474" width="11" style="609" bestFit="1" customWidth="1"/>
    <col min="9475" max="9475" width="15.25" style="609" bestFit="1" customWidth="1"/>
    <col min="9476" max="9476" width="12.375" style="609" bestFit="1" customWidth="1"/>
    <col min="9477" max="9477" width="9.75" style="609" bestFit="1" customWidth="1"/>
    <col min="9478" max="9478" width="9.125" style="609" bestFit="1" customWidth="1"/>
    <col min="9479" max="9479" width="11.125" style="609" bestFit="1" customWidth="1"/>
    <col min="9480" max="9480" width="9.125" style="609" bestFit="1" customWidth="1"/>
    <col min="9481" max="9728" width="9" style="609"/>
    <col min="9729" max="9729" width="11.125" style="609" bestFit="1" customWidth="1"/>
    <col min="9730" max="9730" width="11" style="609" bestFit="1" customWidth="1"/>
    <col min="9731" max="9731" width="15.25" style="609" bestFit="1" customWidth="1"/>
    <col min="9732" max="9732" width="12.375" style="609" bestFit="1" customWidth="1"/>
    <col min="9733" max="9733" width="9.75" style="609" bestFit="1" customWidth="1"/>
    <col min="9734" max="9734" width="9.125" style="609" bestFit="1" customWidth="1"/>
    <col min="9735" max="9735" width="11.125" style="609" bestFit="1" customWidth="1"/>
    <col min="9736" max="9736" width="9.125" style="609" bestFit="1" customWidth="1"/>
    <col min="9737" max="9984" width="9" style="609"/>
    <col min="9985" max="9985" width="11.125" style="609" bestFit="1" customWidth="1"/>
    <col min="9986" max="9986" width="11" style="609" bestFit="1" customWidth="1"/>
    <col min="9987" max="9987" width="15.25" style="609" bestFit="1" customWidth="1"/>
    <col min="9988" max="9988" width="12.375" style="609" bestFit="1" customWidth="1"/>
    <col min="9989" max="9989" width="9.75" style="609" bestFit="1" customWidth="1"/>
    <col min="9990" max="9990" width="9.125" style="609" bestFit="1" customWidth="1"/>
    <col min="9991" max="9991" width="11.125" style="609" bestFit="1" customWidth="1"/>
    <col min="9992" max="9992" width="9.125" style="609" bestFit="1" customWidth="1"/>
    <col min="9993" max="10240" width="9" style="609"/>
    <col min="10241" max="10241" width="11.125" style="609" bestFit="1" customWidth="1"/>
    <col min="10242" max="10242" width="11" style="609" bestFit="1" customWidth="1"/>
    <col min="10243" max="10243" width="15.25" style="609" bestFit="1" customWidth="1"/>
    <col min="10244" max="10244" width="12.375" style="609" bestFit="1" customWidth="1"/>
    <col min="10245" max="10245" width="9.75" style="609" bestFit="1" customWidth="1"/>
    <col min="10246" max="10246" width="9.125" style="609" bestFit="1" customWidth="1"/>
    <col min="10247" max="10247" width="11.125" style="609" bestFit="1" customWidth="1"/>
    <col min="10248" max="10248" width="9.125" style="609" bestFit="1" customWidth="1"/>
    <col min="10249" max="10496" width="9" style="609"/>
    <col min="10497" max="10497" width="11.125" style="609" bestFit="1" customWidth="1"/>
    <col min="10498" max="10498" width="11" style="609" bestFit="1" customWidth="1"/>
    <col min="10499" max="10499" width="15.25" style="609" bestFit="1" customWidth="1"/>
    <col min="10500" max="10500" width="12.375" style="609" bestFit="1" customWidth="1"/>
    <col min="10501" max="10501" width="9.75" style="609" bestFit="1" customWidth="1"/>
    <col min="10502" max="10502" width="9.125" style="609" bestFit="1" customWidth="1"/>
    <col min="10503" max="10503" width="11.125" style="609" bestFit="1" customWidth="1"/>
    <col min="10504" max="10504" width="9.125" style="609" bestFit="1" customWidth="1"/>
    <col min="10505" max="10752" width="9" style="609"/>
    <col min="10753" max="10753" width="11.125" style="609" bestFit="1" customWidth="1"/>
    <col min="10754" max="10754" width="11" style="609" bestFit="1" customWidth="1"/>
    <col min="10755" max="10755" width="15.25" style="609" bestFit="1" customWidth="1"/>
    <col min="10756" max="10756" width="12.375" style="609" bestFit="1" customWidth="1"/>
    <col min="10757" max="10757" width="9.75" style="609" bestFit="1" customWidth="1"/>
    <col min="10758" max="10758" width="9.125" style="609" bestFit="1" customWidth="1"/>
    <col min="10759" max="10759" width="11.125" style="609" bestFit="1" customWidth="1"/>
    <col min="10760" max="10760" width="9.125" style="609" bestFit="1" customWidth="1"/>
    <col min="10761" max="11008" width="9" style="609"/>
    <col min="11009" max="11009" width="11.125" style="609" bestFit="1" customWidth="1"/>
    <col min="11010" max="11010" width="11" style="609" bestFit="1" customWidth="1"/>
    <col min="11011" max="11011" width="15.25" style="609" bestFit="1" customWidth="1"/>
    <col min="11012" max="11012" width="12.375" style="609" bestFit="1" customWidth="1"/>
    <col min="11013" max="11013" width="9.75" style="609" bestFit="1" customWidth="1"/>
    <col min="11014" max="11014" width="9.125" style="609" bestFit="1" customWidth="1"/>
    <col min="11015" max="11015" width="11.125" style="609" bestFit="1" customWidth="1"/>
    <col min="11016" max="11016" width="9.125" style="609" bestFit="1" customWidth="1"/>
    <col min="11017" max="11264" width="9" style="609"/>
    <col min="11265" max="11265" width="11.125" style="609" bestFit="1" customWidth="1"/>
    <col min="11266" max="11266" width="11" style="609" bestFit="1" customWidth="1"/>
    <col min="11267" max="11267" width="15.25" style="609" bestFit="1" customWidth="1"/>
    <col min="11268" max="11268" width="12.375" style="609" bestFit="1" customWidth="1"/>
    <col min="11269" max="11269" width="9.75" style="609" bestFit="1" customWidth="1"/>
    <col min="11270" max="11270" width="9.125" style="609" bestFit="1" customWidth="1"/>
    <col min="11271" max="11271" width="11.125" style="609" bestFit="1" customWidth="1"/>
    <col min="11272" max="11272" width="9.125" style="609" bestFit="1" customWidth="1"/>
    <col min="11273" max="11520" width="9" style="609"/>
    <col min="11521" max="11521" width="11.125" style="609" bestFit="1" customWidth="1"/>
    <col min="11522" max="11522" width="11" style="609" bestFit="1" customWidth="1"/>
    <col min="11523" max="11523" width="15.25" style="609" bestFit="1" customWidth="1"/>
    <col min="11524" max="11524" width="12.375" style="609" bestFit="1" customWidth="1"/>
    <col min="11525" max="11525" width="9.75" style="609" bestFit="1" customWidth="1"/>
    <col min="11526" max="11526" width="9.125" style="609" bestFit="1" customWidth="1"/>
    <col min="11527" max="11527" width="11.125" style="609" bestFit="1" customWidth="1"/>
    <col min="11528" max="11528" width="9.125" style="609" bestFit="1" customWidth="1"/>
    <col min="11529" max="11776" width="9" style="609"/>
    <col min="11777" max="11777" width="11.125" style="609" bestFit="1" customWidth="1"/>
    <col min="11778" max="11778" width="11" style="609" bestFit="1" customWidth="1"/>
    <col min="11779" max="11779" width="15.25" style="609" bestFit="1" customWidth="1"/>
    <col min="11780" max="11780" width="12.375" style="609" bestFit="1" customWidth="1"/>
    <col min="11781" max="11781" width="9.75" style="609" bestFit="1" customWidth="1"/>
    <col min="11782" max="11782" width="9.125" style="609" bestFit="1" customWidth="1"/>
    <col min="11783" max="11783" width="11.125" style="609" bestFit="1" customWidth="1"/>
    <col min="11784" max="11784" width="9.125" style="609" bestFit="1" customWidth="1"/>
    <col min="11785" max="12032" width="9" style="609"/>
    <col min="12033" max="12033" width="11.125" style="609" bestFit="1" customWidth="1"/>
    <col min="12034" max="12034" width="11" style="609" bestFit="1" customWidth="1"/>
    <col min="12035" max="12035" width="15.25" style="609" bestFit="1" customWidth="1"/>
    <col min="12036" max="12036" width="12.375" style="609" bestFit="1" customWidth="1"/>
    <col min="12037" max="12037" width="9.75" style="609" bestFit="1" customWidth="1"/>
    <col min="12038" max="12038" width="9.125" style="609" bestFit="1" customWidth="1"/>
    <col min="12039" max="12039" width="11.125" style="609" bestFit="1" customWidth="1"/>
    <col min="12040" max="12040" width="9.125" style="609" bestFit="1" customWidth="1"/>
    <col min="12041" max="12288" width="9" style="609"/>
    <col min="12289" max="12289" width="11.125" style="609" bestFit="1" customWidth="1"/>
    <col min="12290" max="12290" width="11" style="609" bestFit="1" customWidth="1"/>
    <col min="12291" max="12291" width="15.25" style="609" bestFit="1" customWidth="1"/>
    <col min="12292" max="12292" width="12.375" style="609" bestFit="1" customWidth="1"/>
    <col min="12293" max="12293" width="9.75" style="609" bestFit="1" customWidth="1"/>
    <col min="12294" max="12294" width="9.125" style="609" bestFit="1" customWidth="1"/>
    <col min="12295" max="12295" width="11.125" style="609" bestFit="1" customWidth="1"/>
    <col min="12296" max="12296" width="9.125" style="609" bestFit="1" customWidth="1"/>
    <col min="12297" max="12544" width="9" style="609"/>
    <col min="12545" max="12545" width="11.125" style="609" bestFit="1" customWidth="1"/>
    <col min="12546" max="12546" width="11" style="609" bestFit="1" customWidth="1"/>
    <col min="12547" max="12547" width="15.25" style="609" bestFit="1" customWidth="1"/>
    <col min="12548" max="12548" width="12.375" style="609" bestFit="1" customWidth="1"/>
    <col min="12549" max="12549" width="9.75" style="609" bestFit="1" customWidth="1"/>
    <col min="12550" max="12550" width="9.125" style="609" bestFit="1" customWidth="1"/>
    <col min="12551" max="12551" width="11.125" style="609" bestFit="1" customWidth="1"/>
    <col min="12552" max="12552" width="9.125" style="609" bestFit="1" customWidth="1"/>
    <col min="12553" max="12800" width="9" style="609"/>
    <col min="12801" max="12801" width="11.125" style="609" bestFit="1" customWidth="1"/>
    <col min="12802" max="12802" width="11" style="609" bestFit="1" customWidth="1"/>
    <col min="12803" max="12803" width="15.25" style="609" bestFit="1" customWidth="1"/>
    <col min="12804" max="12804" width="12.375" style="609" bestFit="1" customWidth="1"/>
    <col min="12805" max="12805" width="9.75" style="609" bestFit="1" customWidth="1"/>
    <col min="12806" max="12806" width="9.125" style="609" bestFit="1" customWidth="1"/>
    <col min="12807" max="12807" width="11.125" style="609" bestFit="1" customWidth="1"/>
    <col min="12808" max="12808" width="9.125" style="609" bestFit="1" customWidth="1"/>
    <col min="12809" max="13056" width="9" style="609"/>
    <col min="13057" max="13057" width="11.125" style="609" bestFit="1" customWidth="1"/>
    <col min="13058" max="13058" width="11" style="609" bestFit="1" customWidth="1"/>
    <col min="13059" max="13059" width="15.25" style="609" bestFit="1" customWidth="1"/>
    <col min="13060" max="13060" width="12.375" style="609" bestFit="1" customWidth="1"/>
    <col min="13061" max="13061" width="9.75" style="609" bestFit="1" customWidth="1"/>
    <col min="13062" max="13062" width="9.125" style="609" bestFit="1" customWidth="1"/>
    <col min="13063" max="13063" width="11.125" style="609" bestFit="1" customWidth="1"/>
    <col min="13064" max="13064" width="9.125" style="609" bestFit="1" customWidth="1"/>
    <col min="13065" max="13312" width="9" style="609"/>
    <col min="13313" max="13313" width="11.125" style="609" bestFit="1" customWidth="1"/>
    <col min="13314" max="13314" width="11" style="609" bestFit="1" customWidth="1"/>
    <col min="13315" max="13315" width="15.25" style="609" bestFit="1" customWidth="1"/>
    <col min="13316" max="13316" width="12.375" style="609" bestFit="1" customWidth="1"/>
    <col min="13317" max="13317" width="9.75" style="609" bestFit="1" customWidth="1"/>
    <col min="13318" max="13318" width="9.125" style="609" bestFit="1" customWidth="1"/>
    <col min="13319" max="13319" width="11.125" style="609" bestFit="1" customWidth="1"/>
    <col min="13320" max="13320" width="9.125" style="609" bestFit="1" customWidth="1"/>
    <col min="13321" max="13568" width="9" style="609"/>
    <col min="13569" max="13569" width="11.125" style="609" bestFit="1" customWidth="1"/>
    <col min="13570" max="13570" width="11" style="609" bestFit="1" customWidth="1"/>
    <col min="13571" max="13571" width="15.25" style="609" bestFit="1" customWidth="1"/>
    <col min="13572" max="13572" width="12.375" style="609" bestFit="1" customWidth="1"/>
    <col min="13573" max="13573" width="9.75" style="609" bestFit="1" customWidth="1"/>
    <col min="13574" max="13574" width="9.125" style="609" bestFit="1" customWidth="1"/>
    <col min="13575" max="13575" width="11.125" style="609" bestFit="1" customWidth="1"/>
    <col min="13576" max="13576" width="9.125" style="609" bestFit="1" customWidth="1"/>
    <col min="13577" max="13824" width="9" style="609"/>
    <col min="13825" max="13825" width="11.125" style="609" bestFit="1" customWidth="1"/>
    <col min="13826" max="13826" width="11" style="609" bestFit="1" customWidth="1"/>
    <col min="13827" max="13827" width="15.25" style="609" bestFit="1" customWidth="1"/>
    <col min="13828" max="13828" width="12.375" style="609" bestFit="1" customWidth="1"/>
    <col min="13829" max="13829" width="9.75" style="609" bestFit="1" customWidth="1"/>
    <col min="13830" max="13830" width="9.125" style="609" bestFit="1" customWidth="1"/>
    <col min="13831" max="13831" width="11.125" style="609" bestFit="1" customWidth="1"/>
    <col min="13832" max="13832" width="9.125" style="609" bestFit="1" customWidth="1"/>
    <col min="13833" max="14080" width="9" style="609"/>
    <col min="14081" max="14081" width="11.125" style="609" bestFit="1" customWidth="1"/>
    <col min="14082" max="14082" width="11" style="609" bestFit="1" customWidth="1"/>
    <col min="14083" max="14083" width="15.25" style="609" bestFit="1" customWidth="1"/>
    <col min="14084" max="14084" width="12.375" style="609" bestFit="1" customWidth="1"/>
    <col min="14085" max="14085" width="9.75" style="609" bestFit="1" customWidth="1"/>
    <col min="14086" max="14086" width="9.125" style="609" bestFit="1" customWidth="1"/>
    <col min="14087" max="14087" width="11.125" style="609" bestFit="1" customWidth="1"/>
    <col min="14088" max="14088" width="9.125" style="609" bestFit="1" customWidth="1"/>
    <col min="14089" max="14336" width="9" style="609"/>
    <col min="14337" max="14337" width="11.125" style="609" bestFit="1" customWidth="1"/>
    <col min="14338" max="14338" width="11" style="609" bestFit="1" customWidth="1"/>
    <col min="14339" max="14339" width="15.25" style="609" bestFit="1" customWidth="1"/>
    <col min="14340" max="14340" width="12.375" style="609" bestFit="1" customWidth="1"/>
    <col min="14341" max="14341" width="9.75" style="609" bestFit="1" customWidth="1"/>
    <col min="14342" max="14342" width="9.125" style="609" bestFit="1" customWidth="1"/>
    <col min="14343" max="14343" width="11.125" style="609" bestFit="1" customWidth="1"/>
    <col min="14344" max="14344" width="9.125" style="609" bestFit="1" customWidth="1"/>
    <col min="14345" max="14592" width="9" style="609"/>
    <col min="14593" max="14593" width="11.125" style="609" bestFit="1" customWidth="1"/>
    <col min="14594" max="14594" width="11" style="609" bestFit="1" customWidth="1"/>
    <col min="14595" max="14595" width="15.25" style="609" bestFit="1" customWidth="1"/>
    <col min="14596" max="14596" width="12.375" style="609" bestFit="1" customWidth="1"/>
    <col min="14597" max="14597" width="9.75" style="609" bestFit="1" customWidth="1"/>
    <col min="14598" max="14598" width="9.125" style="609" bestFit="1" customWidth="1"/>
    <col min="14599" max="14599" width="11.125" style="609" bestFit="1" customWidth="1"/>
    <col min="14600" max="14600" width="9.125" style="609" bestFit="1" customWidth="1"/>
    <col min="14601" max="14848" width="9" style="609"/>
    <col min="14849" max="14849" width="11.125" style="609" bestFit="1" customWidth="1"/>
    <col min="14850" max="14850" width="11" style="609" bestFit="1" customWidth="1"/>
    <col min="14851" max="14851" width="15.25" style="609" bestFit="1" customWidth="1"/>
    <col min="14852" max="14852" width="12.375" style="609" bestFit="1" customWidth="1"/>
    <col min="14853" max="14853" width="9.75" style="609" bestFit="1" customWidth="1"/>
    <col min="14854" max="14854" width="9.125" style="609" bestFit="1" customWidth="1"/>
    <col min="14855" max="14855" width="11.125" style="609" bestFit="1" customWidth="1"/>
    <col min="14856" max="14856" width="9.125" style="609" bestFit="1" customWidth="1"/>
    <col min="14857" max="15104" width="9" style="609"/>
    <col min="15105" max="15105" width="11.125" style="609" bestFit="1" customWidth="1"/>
    <col min="15106" max="15106" width="11" style="609" bestFit="1" customWidth="1"/>
    <col min="15107" max="15107" width="15.25" style="609" bestFit="1" customWidth="1"/>
    <col min="15108" max="15108" width="12.375" style="609" bestFit="1" customWidth="1"/>
    <col min="15109" max="15109" width="9.75" style="609" bestFit="1" customWidth="1"/>
    <col min="15110" max="15110" width="9.125" style="609" bestFit="1" customWidth="1"/>
    <col min="15111" max="15111" width="11.125" style="609" bestFit="1" customWidth="1"/>
    <col min="15112" max="15112" width="9.125" style="609" bestFit="1" customWidth="1"/>
    <col min="15113" max="15360" width="9" style="609"/>
    <col min="15361" max="15361" width="11.125" style="609" bestFit="1" customWidth="1"/>
    <col min="15362" max="15362" width="11" style="609" bestFit="1" customWidth="1"/>
    <col min="15363" max="15363" width="15.25" style="609" bestFit="1" customWidth="1"/>
    <col min="15364" max="15364" width="12.375" style="609" bestFit="1" customWidth="1"/>
    <col min="15365" max="15365" width="9.75" style="609" bestFit="1" customWidth="1"/>
    <col min="15366" max="15366" width="9.125" style="609" bestFit="1" customWidth="1"/>
    <col min="15367" max="15367" width="11.125" style="609" bestFit="1" customWidth="1"/>
    <col min="15368" max="15368" width="9.125" style="609" bestFit="1" customWidth="1"/>
    <col min="15369" max="15616" width="9" style="609"/>
    <col min="15617" max="15617" width="11.125" style="609" bestFit="1" customWidth="1"/>
    <col min="15618" max="15618" width="11" style="609" bestFit="1" customWidth="1"/>
    <col min="15619" max="15619" width="15.25" style="609" bestFit="1" customWidth="1"/>
    <col min="15620" max="15620" width="12.375" style="609" bestFit="1" customWidth="1"/>
    <col min="15621" max="15621" width="9.75" style="609" bestFit="1" customWidth="1"/>
    <col min="15622" max="15622" width="9.125" style="609" bestFit="1" customWidth="1"/>
    <col min="15623" max="15623" width="11.125" style="609" bestFit="1" customWidth="1"/>
    <col min="15624" max="15624" width="9.125" style="609" bestFit="1" customWidth="1"/>
    <col min="15625" max="15872" width="9" style="609"/>
    <col min="15873" max="15873" width="11.125" style="609" bestFit="1" customWidth="1"/>
    <col min="15874" max="15874" width="11" style="609" bestFit="1" customWidth="1"/>
    <col min="15875" max="15875" width="15.25" style="609" bestFit="1" customWidth="1"/>
    <col min="15876" max="15876" width="12.375" style="609" bestFit="1" customWidth="1"/>
    <col min="15877" max="15877" width="9.75" style="609" bestFit="1" customWidth="1"/>
    <col min="15878" max="15878" width="9.125" style="609" bestFit="1" customWidth="1"/>
    <col min="15879" max="15879" width="11.125" style="609" bestFit="1" customWidth="1"/>
    <col min="15880" max="15880" width="9.125" style="609" bestFit="1" customWidth="1"/>
    <col min="15881" max="16128" width="9" style="609"/>
    <col min="16129" max="16129" width="11.125" style="609" bestFit="1" customWidth="1"/>
    <col min="16130" max="16130" width="11" style="609" bestFit="1" customWidth="1"/>
    <col min="16131" max="16131" width="15.25" style="609" bestFit="1" customWidth="1"/>
    <col min="16132" max="16132" width="12.375" style="609" bestFit="1" customWidth="1"/>
    <col min="16133" max="16133" width="9.75" style="609" bestFit="1" customWidth="1"/>
    <col min="16134" max="16134" width="9.125" style="609" bestFit="1" customWidth="1"/>
    <col min="16135" max="16135" width="11.125" style="609" bestFit="1" customWidth="1"/>
    <col min="16136" max="16136" width="9.125" style="609" bestFit="1" customWidth="1"/>
    <col min="16137" max="16384" width="9" style="609"/>
  </cols>
  <sheetData>
    <row r="1" spans="1:8" ht="27" customHeight="1" x14ac:dyDescent="0.15">
      <c r="A1" s="607" t="s">
        <v>342</v>
      </c>
      <c r="B1" s="608"/>
      <c r="C1" s="608"/>
      <c r="D1" s="608"/>
      <c r="E1" s="608"/>
      <c r="F1" s="608"/>
      <c r="G1" s="608"/>
      <c r="H1" s="608"/>
    </row>
    <row r="2" spans="1:8" ht="42" customHeight="1" thickBot="1" x14ac:dyDescent="0.2">
      <c r="A2" s="610"/>
      <c r="B2" s="608"/>
      <c r="C2" s="608"/>
      <c r="D2" s="608"/>
      <c r="E2" s="608"/>
      <c r="F2" s="608"/>
      <c r="G2" s="608"/>
      <c r="H2" s="611" t="s">
        <v>155</v>
      </c>
    </row>
    <row r="3" spans="1:8" ht="24.95" customHeight="1" x14ac:dyDescent="0.15">
      <c r="A3" s="833" t="s">
        <v>62</v>
      </c>
      <c r="B3" s="835" t="s">
        <v>3</v>
      </c>
      <c r="C3" s="837" t="s">
        <v>343</v>
      </c>
      <c r="D3" s="835" t="s">
        <v>344</v>
      </c>
      <c r="E3" s="835" t="s">
        <v>345</v>
      </c>
      <c r="F3" s="831" t="s">
        <v>69</v>
      </c>
      <c r="G3" s="831"/>
      <c r="H3" s="832"/>
    </row>
    <row r="4" spans="1:8" ht="24.95" customHeight="1" x14ac:dyDescent="0.15">
      <c r="A4" s="834"/>
      <c r="B4" s="836"/>
      <c r="C4" s="838"/>
      <c r="D4" s="836"/>
      <c r="E4" s="836"/>
      <c r="F4" s="612" t="s">
        <v>346</v>
      </c>
      <c r="G4" s="612" t="s">
        <v>344</v>
      </c>
      <c r="H4" s="613" t="s">
        <v>345</v>
      </c>
    </row>
    <row r="5" spans="1:8" ht="30" hidden="1" customHeight="1" x14ac:dyDescent="0.15">
      <c r="A5" s="614"/>
      <c r="B5" s="615" t="s">
        <v>347</v>
      </c>
      <c r="C5" s="616">
        <v>7699826</v>
      </c>
      <c r="D5" s="616">
        <v>2740158</v>
      </c>
      <c r="E5" s="616">
        <v>38361</v>
      </c>
      <c r="F5" s="617">
        <v>90.9</v>
      </c>
      <c r="G5" s="618">
        <v>91.2</v>
      </c>
      <c r="H5" s="619">
        <v>91.2</v>
      </c>
    </row>
    <row r="6" spans="1:8" ht="30" hidden="1" customHeight="1" x14ac:dyDescent="0.15">
      <c r="A6" s="620" t="s">
        <v>4</v>
      </c>
      <c r="B6" s="621" t="s">
        <v>57</v>
      </c>
      <c r="C6" s="622">
        <v>17599274</v>
      </c>
      <c r="D6" s="622">
        <v>6181775</v>
      </c>
      <c r="E6" s="622">
        <v>86545</v>
      </c>
      <c r="F6" s="618">
        <v>97.6</v>
      </c>
      <c r="G6" s="618">
        <v>98.7</v>
      </c>
      <c r="H6" s="623">
        <v>98.7</v>
      </c>
    </row>
    <row r="7" spans="1:8" ht="30" hidden="1" customHeight="1" x14ac:dyDescent="0.15">
      <c r="A7" s="620"/>
      <c r="B7" s="615" t="s">
        <v>29</v>
      </c>
      <c r="C7" s="616">
        <f>C5+C6</f>
        <v>25299100</v>
      </c>
      <c r="D7" s="616">
        <f>D5+D6</f>
        <v>8921933</v>
      </c>
      <c r="E7" s="616">
        <f>E5+E6</f>
        <v>124906</v>
      </c>
      <c r="F7" s="624">
        <v>95.4</v>
      </c>
      <c r="G7" s="624">
        <v>96.3</v>
      </c>
      <c r="H7" s="625">
        <v>96.3</v>
      </c>
    </row>
    <row r="8" spans="1:8" ht="30" hidden="1" customHeight="1" x14ac:dyDescent="0.15">
      <c r="A8" s="626"/>
      <c r="B8" s="615" t="s">
        <v>347</v>
      </c>
      <c r="C8" s="616">
        <v>6148223</v>
      </c>
      <c r="D8" s="616">
        <v>2278303</v>
      </c>
      <c r="E8" s="616">
        <v>31895</v>
      </c>
      <c r="F8" s="617">
        <f t="shared" ref="F8:H23" si="0">ROUND((C8/C5)*100,1)</f>
        <v>79.8</v>
      </c>
      <c r="G8" s="617">
        <f t="shared" si="0"/>
        <v>83.1</v>
      </c>
      <c r="H8" s="619">
        <f t="shared" si="0"/>
        <v>83.1</v>
      </c>
    </row>
    <row r="9" spans="1:8" ht="30" hidden="1" customHeight="1" x14ac:dyDescent="0.15">
      <c r="A9" s="620" t="s">
        <v>88</v>
      </c>
      <c r="B9" s="621" t="s">
        <v>57</v>
      </c>
      <c r="C9" s="622">
        <v>16919728</v>
      </c>
      <c r="D9" s="622">
        <v>6074428</v>
      </c>
      <c r="E9" s="622">
        <v>85042</v>
      </c>
      <c r="F9" s="618">
        <f t="shared" si="0"/>
        <v>96.1</v>
      </c>
      <c r="G9" s="618">
        <f t="shared" si="0"/>
        <v>98.3</v>
      </c>
      <c r="H9" s="623">
        <f t="shared" si="0"/>
        <v>98.3</v>
      </c>
    </row>
    <row r="10" spans="1:8" ht="30" hidden="1" customHeight="1" x14ac:dyDescent="0.15">
      <c r="A10" s="627"/>
      <c r="B10" s="628" t="s">
        <v>29</v>
      </c>
      <c r="C10" s="629">
        <f>C8+C9</f>
        <v>23067951</v>
      </c>
      <c r="D10" s="629">
        <f>D8+D9</f>
        <v>8352731</v>
      </c>
      <c r="E10" s="629">
        <f>E8+E9</f>
        <v>116937</v>
      </c>
      <c r="F10" s="630">
        <f t="shared" si="0"/>
        <v>91.2</v>
      </c>
      <c r="G10" s="630">
        <f t="shared" si="0"/>
        <v>93.6</v>
      </c>
      <c r="H10" s="631">
        <f t="shared" si="0"/>
        <v>93.6</v>
      </c>
    </row>
    <row r="11" spans="1:8" ht="30" hidden="1" customHeight="1" x14ac:dyDescent="0.15">
      <c r="A11" s="626"/>
      <c r="B11" s="615" t="s">
        <v>347</v>
      </c>
      <c r="C11" s="622">
        <v>6041975</v>
      </c>
      <c r="D11" s="622">
        <v>2171622</v>
      </c>
      <c r="E11" s="622">
        <v>30402</v>
      </c>
      <c r="F11" s="617">
        <f t="shared" si="0"/>
        <v>98.3</v>
      </c>
      <c r="G11" s="617">
        <f t="shared" si="0"/>
        <v>95.3</v>
      </c>
      <c r="H11" s="619">
        <f t="shared" si="0"/>
        <v>95.3</v>
      </c>
    </row>
    <row r="12" spans="1:8" ht="30" hidden="1" customHeight="1" x14ac:dyDescent="0.15">
      <c r="A12" s="620" t="s">
        <v>6</v>
      </c>
      <c r="B12" s="621" t="s">
        <v>57</v>
      </c>
      <c r="C12" s="622">
        <v>16168341</v>
      </c>
      <c r="D12" s="622">
        <v>5947456</v>
      </c>
      <c r="E12" s="622">
        <v>83264</v>
      </c>
      <c r="F12" s="618">
        <f t="shared" si="0"/>
        <v>95.6</v>
      </c>
      <c r="G12" s="618">
        <f t="shared" si="0"/>
        <v>97.9</v>
      </c>
      <c r="H12" s="623">
        <f t="shared" si="0"/>
        <v>97.9</v>
      </c>
    </row>
    <row r="13" spans="1:8" ht="30" hidden="1" customHeight="1" x14ac:dyDescent="0.15">
      <c r="A13" s="627"/>
      <c r="B13" s="628" t="s">
        <v>29</v>
      </c>
      <c r="C13" s="629">
        <f>C11+C12</f>
        <v>22210316</v>
      </c>
      <c r="D13" s="629">
        <f>D11+D12</f>
        <v>8119078</v>
      </c>
      <c r="E13" s="629">
        <f>E11+E12</f>
        <v>113666</v>
      </c>
      <c r="F13" s="630">
        <f t="shared" si="0"/>
        <v>96.3</v>
      </c>
      <c r="G13" s="630">
        <f t="shared" si="0"/>
        <v>97.2</v>
      </c>
      <c r="H13" s="631">
        <f t="shared" si="0"/>
        <v>97.2</v>
      </c>
    </row>
    <row r="14" spans="1:8" ht="30" hidden="1" customHeight="1" x14ac:dyDescent="0.15">
      <c r="A14" s="632"/>
      <c r="B14" s="621" t="s">
        <v>347</v>
      </c>
      <c r="C14" s="622">
        <v>5017162</v>
      </c>
      <c r="D14" s="622">
        <v>1998279</v>
      </c>
      <c r="E14" s="622">
        <v>27975</v>
      </c>
      <c r="F14" s="618">
        <f t="shared" si="0"/>
        <v>83</v>
      </c>
      <c r="G14" s="618">
        <f t="shared" si="0"/>
        <v>92</v>
      </c>
      <c r="H14" s="623">
        <f t="shared" si="0"/>
        <v>92</v>
      </c>
    </row>
    <row r="15" spans="1:8" ht="30" hidden="1" customHeight="1" x14ac:dyDescent="0.15">
      <c r="A15" s="620" t="s">
        <v>7</v>
      </c>
      <c r="B15" s="621" t="s">
        <v>57</v>
      </c>
      <c r="C15" s="622">
        <v>15591710</v>
      </c>
      <c r="D15" s="622">
        <v>5846673</v>
      </c>
      <c r="E15" s="622">
        <v>81853</v>
      </c>
      <c r="F15" s="618">
        <f t="shared" si="0"/>
        <v>96.4</v>
      </c>
      <c r="G15" s="618">
        <f t="shared" si="0"/>
        <v>98.3</v>
      </c>
      <c r="H15" s="623">
        <f t="shared" si="0"/>
        <v>98.3</v>
      </c>
    </row>
    <row r="16" spans="1:8" ht="30" hidden="1" customHeight="1" x14ac:dyDescent="0.15">
      <c r="A16" s="627"/>
      <c r="B16" s="628" t="s">
        <v>29</v>
      </c>
      <c r="C16" s="629">
        <f>C14+C15</f>
        <v>20608872</v>
      </c>
      <c r="D16" s="629">
        <f>D14+D15</f>
        <v>7844952</v>
      </c>
      <c r="E16" s="629">
        <f>E14+E15</f>
        <v>109828</v>
      </c>
      <c r="F16" s="630">
        <f t="shared" si="0"/>
        <v>92.8</v>
      </c>
      <c r="G16" s="630">
        <f t="shared" si="0"/>
        <v>96.6</v>
      </c>
      <c r="H16" s="631">
        <f t="shared" si="0"/>
        <v>96.6</v>
      </c>
    </row>
    <row r="17" spans="1:8" ht="30" hidden="1" customHeight="1" x14ac:dyDescent="0.15">
      <c r="A17" s="632"/>
      <c r="B17" s="621" t="s">
        <v>347</v>
      </c>
      <c r="C17" s="622">
        <v>4934176</v>
      </c>
      <c r="D17" s="622">
        <v>1952187</v>
      </c>
      <c r="E17" s="622">
        <v>27330</v>
      </c>
      <c r="F17" s="618">
        <f t="shared" si="0"/>
        <v>98.3</v>
      </c>
      <c r="G17" s="618">
        <f t="shared" si="0"/>
        <v>97.7</v>
      </c>
      <c r="H17" s="623">
        <f t="shared" si="0"/>
        <v>97.7</v>
      </c>
    </row>
    <row r="18" spans="1:8" ht="30" hidden="1" customHeight="1" x14ac:dyDescent="0.15">
      <c r="A18" s="620" t="s">
        <v>8</v>
      </c>
      <c r="B18" s="621" t="s">
        <v>57</v>
      </c>
      <c r="C18" s="622">
        <v>13048553</v>
      </c>
      <c r="D18" s="622">
        <v>4575072</v>
      </c>
      <c r="E18" s="622">
        <v>64050</v>
      </c>
      <c r="F18" s="618">
        <f t="shared" si="0"/>
        <v>83.7</v>
      </c>
      <c r="G18" s="618">
        <f t="shared" si="0"/>
        <v>78.3</v>
      </c>
      <c r="H18" s="623">
        <f t="shared" si="0"/>
        <v>78.3</v>
      </c>
    </row>
    <row r="19" spans="1:8" ht="30" hidden="1" customHeight="1" x14ac:dyDescent="0.15">
      <c r="A19" s="627"/>
      <c r="B19" s="628" t="s">
        <v>29</v>
      </c>
      <c r="C19" s="629">
        <f>C17+C18</f>
        <v>17982729</v>
      </c>
      <c r="D19" s="629">
        <f>D17+D18</f>
        <v>6527259</v>
      </c>
      <c r="E19" s="629">
        <f>E17+E18</f>
        <v>91380</v>
      </c>
      <c r="F19" s="630">
        <f t="shared" si="0"/>
        <v>87.3</v>
      </c>
      <c r="G19" s="630">
        <f t="shared" si="0"/>
        <v>83.2</v>
      </c>
      <c r="H19" s="631">
        <f t="shared" si="0"/>
        <v>83.2</v>
      </c>
    </row>
    <row r="20" spans="1:8" ht="30" hidden="1" customHeight="1" x14ac:dyDescent="0.15">
      <c r="A20" s="632"/>
      <c r="B20" s="621" t="s">
        <v>347</v>
      </c>
      <c r="C20" s="622">
        <v>4952732</v>
      </c>
      <c r="D20" s="622">
        <v>1938296</v>
      </c>
      <c r="E20" s="622">
        <v>27135</v>
      </c>
      <c r="F20" s="618">
        <f t="shared" si="0"/>
        <v>100.4</v>
      </c>
      <c r="G20" s="618">
        <f t="shared" si="0"/>
        <v>99.3</v>
      </c>
      <c r="H20" s="623">
        <f t="shared" si="0"/>
        <v>99.3</v>
      </c>
    </row>
    <row r="21" spans="1:8" ht="30" hidden="1" customHeight="1" x14ac:dyDescent="0.15">
      <c r="A21" s="620" t="s">
        <v>9</v>
      </c>
      <c r="B21" s="621" t="s">
        <v>57</v>
      </c>
      <c r="C21" s="622">
        <v>12986022</v>
      </c>
      <c r="D21" s="622">
        <v>4566916</v>
      </c>
      <c r="E21" s="622">
        <v>63937</v>
      </c>
      <c r="F21" s="618">
        <f t="shared" si="0"/>
        <v>99.5</v>
      </c>
      <c r="G21" s="618">
        <f t="shared" si="0"/>
        <v>99.8</v>
      </c>
      <c r="H21" s="623">
        <f t="shared" si="0"/>
        <v>99.8</v>
      </c>
    </row>
    <row r="22" spans="1:8" ht="30" hidden="1" customHeight="1" x14ac:dyDescent="0.15">
      <c r="A22" s="627"/>
      <c r="B22" s="628" t="s">
        <v>29</v>
      </c>
      <c r="C22" s="629">
        <f>C20+C21</f>
        <v>17938754</v>
      </c>
      <c r="D22" s="629">
        <f>D20+D21</f>
        <v>6505212</v>
      </c>
      <c r="E22" s="629">
        <f>E20+E21</f>
        <v>91072</v>
      </c>
      <c r="F22" s="630">
        <f t="shared" si="0"/>
        <v>99.8</v>
      </c>
      <c r="G22" s="630">
        <f t="shared" si="0"/>
        <v>99.7</v>
      </c>
      <c r="H22" s="631">
        <f t="shared" si="0"/>
        <v>99.7</v>
      </c>
    </row>
    <row r="23" spans="1:8" ht="30" hidden="1" customHeight="1" x14ac:dyDescent="0.15">
      <c r="A23" s="632"/>
      <c r="B23" s="621" t="s">
        <v>347</v>
      </c>
      <c r="C23" s="622">
        <v>4452688</v>
      </c>
      <c r="D23" s="622">
        <v>1795915</v>
      </c>
      <c r="E23" s="622">
        <v>25142</v>
      </c>
      <c r="F23" s="618">
        <f t="shared" si="0"/>
        <v>89.9</v>
      </c>
      <c r="G23" s="618">
        <f t="shared" si="0"/>
        <v>92.7</v>
      </c>
      <c r="H23" s="623">
        <f t="shared" si="0"/>
        <v>92.7</v>
      </c>
    </row>
    <row r="24" spans="1:8" ht="30" hidden="1" customHeight="1" x14ac:dyDescent="0.15">
      <c r="A24" s="620" t="s">
        <v>10</v>
      </c>
      <c r="B24" s="621" t="s">
        <v>57</v>
      </c>
      <c r="C24" s="622">
        <v>12413901</v>
      </c>
      <c r="D24" s="622">
        <v>4305060</v>
      </c>
      <c r="E24" s="622">
        <v>60271</v>
      </c>
      <c r="F24" s="618">
        <f t="shared" ref="F24:H39" si="1">ROUND((C24/C21)*100,1)</f>
        <v>95.6</v>
      </c>
      <c r="G24" s="618">
        <f t="shared" si="1"/>
        <v>94.3</v>
      </c>
      <c r="H24" s="623">
        <f t="shared" si="1"/>
        <v>94.3</v>
      </c>
    </row>
    <row r="25" spans="1:8" ht="30" hidden="1" customHeight="1" x14ac:dyDescent="0.15">
      <c r="A25" s="627"/>
      <c r="B25" s="628" t="s">
        <v>29</v>
      </c>
      <c r="C25" s="629">
        <f>C23+C24</f>
        <v>16866589</v>
      </c>
      <c r="D25" s="629">
        <f>D23+D24</f>
        <v>6100975</v>
      </c>
      <c r="E25" s="629">
        <f>E23+E24</f>
        <v>85413</v>
      </c>
      <c r="F25" s="630">
        <f t="shared" si="1"/>
        <v>94</v>
      </c>
      <c r="G25" s="630">
        <f t="shared" si="1"/>
        <v>93.8</v>
      </c>
      <c r="H25" s="631">
        <f t="shared" si="1"/>
        <v>93.8</v>
      </c>
    </row>
    <row r="26" spans="1:8" ht="30" hidden="1" customHeight="1" x14ac:dyDescent="0.15">
      <c r="A26" s="632"/>
      <c r="B26" s="621" t="s">
        <v>347</v>
      </c>
      <c r="C26" s="616">
        <v>3803889</v>
      </c>
      <c r="D26" s="616">
        <v>1158944</v>
      </c>
      <c r="E26" s="616">
        <v>16225</v>
      </c>
      <c r="F26" s="618">
        <f t="shared" si="1"/>
        <v>85.4</v>
      </c>
      <c r="G26" s="618">
        <f t="shared" si="1"/>
        <v>64.5</v>
      </c>
      <c r="H26" s="623">
        <f t="shared" si="1"/>
        <v>64.5</v>
      </c>
    </row>
    <row r="27" spans="1:8" ht="30" hidden="1" customHeight="1" x14ac:dyDescent="0.15">
      <c r="A27" s="620" t="s">
        <v>11</v>
      </c>
      <c r="B27" s="621" t="s">
        <v>57</v>
      </c>
      <c r="C27" s="622">
        <v>12141389</v>
      </c>
      <c r="D27" s="622">
        <v>4251888</v>
      </c>
      <c r="E27" s="622">
        <v>59526</v>
      </c>
      <c r="F27" s="618">
        <f t="shared" si="1"/>
        <v>97.8</v>
      </c>
      <c r="G27" s="618">
        <f t="shared" si="1"/>
        <v>98.8</v>
      </c>
      <c r="H27" s="623">
        <f t="shared" si="1"/>
        <v>98.8</v>
      </c>
    </row>
    <row r="28" spans="1:8" ht="30" hidden="1" customHeight="1" x14ac:dyDescent="0.15">
      <c r="A28" s="627"/>
      <c r="B28" s="628" t="s">
        <v>29</v>
      </c>
      <c r="C28" s="629">
        <f>C26+C27</f>
        <v>15945278</v>
      </c>
      <c r="D28" s="629">
        <f>D26+D27</f>
        <v>5410832</v>
      </c>
      <c r="E28" s="629">
        <f>E26+E27</f>
        <v>75751</v>
      </c>
      <c r="F28" s="630">
        <f t="shared" si="1"/>
        <v>94.5</v>
      </c>
      <c r="G28" s="630">
        <f t="shared" si="1"/>
        <v>88.7</v>
      </c>
      <c r="H28" s="631">
        <f t="shared" si="1"/>
        <v>88.7</v>
      </c>
    </row>
    <row r="29" spans="1:8" ht="30" hidden="1" customHeight="1" x14ac:dyDescent="0.15">
      <c r="A29" s="626"/>
      <c r="B29" s="615" t="s">
        <v>347</v>
      </c>
      <c r="C29" s="622">
        <v>2872290</v>
      </c>
      <c r="D29" s="622">
        <v>839154</v>
      </c>
      <c r="E29" s="622">
        <v>11748</v>
      </c>
      <c r="F29" s="617">
        <f t="shared" si="1"/>
        <v>75.5</v>
      </c>
      <c r="G29" s="617">
        <f t="shared" si="1"/>
        <v>72.400000000000006</v>
      </c>
      <c r="H29" s="619">
        <f t="shared" si="1"/>
        <v>72.400000000000006</v>
      </c>
    </row>
    <row r="30" spans="1:8" ht="30" hidden="1" customHeight="1" x14ac:dyDescent="0.15">
      <c r="A30" s="620" t="s">
        <v>163</v>
      </c>
      <c r="B30" s="621" t="s">
        <v>57</v>
      </c>
      <c r="C30" s="622">
        <v>11690672</v>
      </c>
      <c r="D30" s="622">
        <v>4088325</v>
      </c>
      <c r="E30" s="622">
        <v>57236</v>
      </c>
      <c r="F30" s="618">
        <f t="shared" si="1"/>
        <v>96.3</v>
      </c>
      <c r="G30" s="618">
        <f t="shared" si="1"/>
        <v>96.2</v>
      </c>
      <c r="H30" s="623">
        <f t="shared" si="1"/>
        <v>96.2</v>
      </c>
    </row>
    <row r="31" spans="1:8" ht="30" hidden="1" customHeight="1" x14ac:dyDescent="0.15">
      <c r="A31" s="627"/>
      <c r="B31" s="628" t="s">
        <v>29</v>
      </c>
      <c r="C31" s="629">
        <f>C29+C30</f>
        <v>14562962</v>
      </c>
      <c r="D31" s="629">
        <f>D29+D30</f>
        <v>4927479</v>
      </c>
      <c r="E31" s="629">
        <f>E29+E30</f>
        <v>68984</v>
      </c>
      <c r="F31" s="630">
        <f t="shared" si="1"/>
        <v>91.3</v>
      </c>
      <c r="G31" s="630">
        <f t="shared" si="1"/>
        <v>91.1</v>
      </c>
      <c r="H31" s="631">
        <f t="shared" si="1"/>
        <v>91.1</v>
      </c>
    </row>
    <row r="32" spans="1:8" ht="30" hidden="1" customHeight="1" x14ac:dyDescent="0.15">
      <c r="A32" s="632"/>
      <c r="B32" s="621" t="s">
        <v>347</v>
      </c>
      <c r="C32" s="616">
        <v>2742720</v>
      </c>
      <c r="D32" s="616">
        <v>766574</v>
      </c>
      <c r="E32" s="616">
        <v>10731</v>
      </c>
      <c r="F32" s="618">
        <f t="shared" si="1"/>
        <v>95.5</v>
      </c>
      <c r="G32" s="618">
        <f t="shared" si="1"/>
        <v>91.4</v>
      </c>
      <c r="H32" s="623">
        <f t="shared" si="1"/>
        <v>91.3</v>
      </c>
    </row>
    <row r="33" spans="1:8" ht="30" hidden="1" customHeight="1" x14ac:dyDescent="0.15">
      <c r="A33" s="620" t="s">
        <v>91</v>
      </c>
      <c r="B33" s="621" t="s">
        <v>57</v>
      </c>
      <c r="C33" s="622">
        <v>11132299</v>
      </c>
      <c r="D33" s="622">
        <v>3891016</v>
      </c>
      <c r="E33" s="622">
        <v>54474</v>
      </c>
      <c r="F33" s="618">
        <f t="shared" si="1"/>
        <v>95.2</v>
      </c>
      <c r="G33" s="618">
        <f t="shared" si="1"/>
        <v>95.2</v>
      </c>
      <c r="H33" s="623">
        <f t="shared" si="1"/>
        <v>95.2</v>
      </c>
    </row>
    <row r="34" spans="1:8" ht="30" hidden="1" customHeight="1" x14ac:dyDescent="0.15">
      <c r="A34" s="627"/>
      <c r="B34" s="628" t="s">
        <v>29</v>
      </c>
      <c r="C34" s="629">
        <f>C32+C33</f>
        <v>13875019</v>
      </c>
      <c r="D34" s="629">
        <f>D32+D33</f>
        <v>4657590</v>
      </c>
      <c r="E34" s="629">
        <f>E32+E33</f>
        <v>65205</v>
      </c>
      <c r="F34" s="630">
        <f t="shared" si="1"/>
        <v>95.3</v>
      </c>
      <c r="G34" s="630">
        <f t="shared" si="1"/>
        <v>94.5</v>
      </c>
      <c r="H34" s="631">
        <f t="shared" si="1"/>
        <v>94.5</v>
      </c>
    </row>
    <row r="35" spans="1:8" ht="30" hidden="1" customHeight="1" x14ac:dyDescent="0.15">
      <c r="A35" s="839" t="s">
        <v>132</v>
      </c>
      <c r="B35" s="615" t="s">
        <v>348</v>
      </c>
      <c r="C35" s="616">
        <v>2637904</v>
      </c>
      <c r="D35" s="616">
        <v>735818</v>
      </c>
      <c r="E35" s="616">
        <v>10301</v>
      </c>
      <c r="F35" s="617">
        <f t="shared" si="1"/>
        <v>96.2</v>
      </c>
      <c r="G35" s="617">
        <f t="shared" si="1"/>
        <v>96</v>
      </c>
      <c r="H35" s="633">
        <f t="shared" si="1"/>
        <v>96</v>
      </c>
    </row>
    <row r="36" spans="1:8" ht="30" hidden="1" customHeight="1" x14ac:dyDescent="0.15">
      <c r="A36" s="840" t="s">
        <v>349</v>
      </c>
      <c r="B36" s="621" t="s">
        <v>350</v>
      </c>
      <c r="C36" s="634">
        <v>11003897</v>
      </c>
      <c r="D36" s="634">
        <v>3794654</v>
      </c>
      <c r="E36" s="634">
        <v>53125</v>
      </c>
      <c r="F36" s="618">
        <f t="shared" si="1"/>
        <v>98.8</v>
      </c>
      <c r="G36" s="618">
        <f t="shared" si="1"/>
        <v>97.5</v>
      </c>
      <c r="H36" s="635">
        <f t="shared" si="1"/>
        <v>97.5</v>
      </c>
    </row>
    <row r="37" spans="1:8" ht="30" hidden="1" customHeight="1" x14ac:dyDescent="0.15">
      <c r="A37" s="840" t="s">
        <v>349</v>
      </c>
      <c r="B37" s="615" t="s">
        <v>93</v>
      </c>
      <c r="C37" s="616">
        <f>C35+C36</f>
        <v>13641801</v>
      </c>
      <c r="D37" s="616">
        <f>D35+D36</f>
        <v>4530472</v>
      </c>
      <c r="E37" s="616">
        <f>E35+E36</f>
        <v>63426</v>
      </c>
      <c r="F37" s="617">
        <f t="shared" si="1"/>
        <v>98.3</v>
      </c>
      <c r="G37" s="617">
        <f t="shared" si="1"/>
        <v>97.3</v>
      </c>
      <c r="H37" s="635">
        <f t="shared" si="1"/>
        <v>97.3</v>
      </c>
    </row>
    <row r="38" spans="1:8" ht="30" hidden="1" customHeight="1" x14ac:dyDescent="0.15">
      <c r="A38" s="839" t="s">
        <v>133</v>
      </c>
      <c r="B38" s="615" t="s">
        <v>348</v>
      </c>
      <c r="C38" s="616">
        <v>2346460</v>
      </c>
      <c r="D38" s="616">
        <v>640247</v>
      </c>
      <c r="E38" s="616">
        <v>8963</v>
      </c>
      <c r="F38" s="636">
        <f t="shared" si="1"/>
        <v>89</v>
      </c>
      <c r="G38" s="636">
        <f t="shared" si="1"/>
        <v>87</v>
      </c>
      <c r="H38" s="637">
        <f t="shared" si="1"/>
        <v>87</v>
      </c>
    </row>
    <row r="39" spans="1:8" ht="30" hidden="1" customHeight="1" x14ac:dyDescent="0.15">
      <c r="A39" s="840" t="s">
        <v>349</v>
      </c>
      <c r="B39" s="612" t="s">
        <v>350</v>
      </c>
      <c r="C39" s="634">
        <v>10821088</v>
      </c>
      <c r="D39" s="634">
        <v>3706007</v>
      </c>
      <c r="E39" s="634">
        <v>51884</v>
      </c>
      <c r="F39" s="638">
        <f t="shared" si="1"/>
        <v>98.3</v>
      </c>
      <c r="G39" s="638">
        <f t="shared" si="1"/>
        <v>97.7</v>
      </c>
      <c r="H39" s="639">
        <f t="shared" si="1"/>
        <v>97.7</v>
      </c>
    </row>
    <row r="40" spans="1:8" ht="30" hidden="1" customHeight="1" x14ac:dyDescent="0.15">
      <c r="A40" s="844" t="s">
        <v>349</v>
      </c>
      <c r="B40" s="621" t="s">
        <v>93</v>
      </c>
      <c r="C40" s="622">
        <f>C38+C39</f>
        <v>13167548</v>
      </c>
      <c r="D40" s="622">
        <f>D38+D39</f>
        <v>4346254</v>
      </c>
      <c r="E40" s="622">
        <f>E38+E39</f>
        <v>60847</v>
      </c>
      <c r="F40" s="640">
        <f t="shared" ref="F40:H52" si="2">ROUND((C40/C37)*100,1)</f>
        <v>96.5</v>
      </c>
      <c r="G40" s="640">
        <f t="shared" si="2"/>
        <v>95.9</v>
      </c>
      <c r="H40" s="641">
        <f t="shared" si="2"/>
        <v>95.9</v>
      </c>
    </row>
    <row r="41" spans="1:8" ht="30" hidden="1" customHeight="1" x14ac:dyDescent="0.15">
      <c r="A41" s="839" t="s">
        <v>37</v>
      </c>
      <c r="B41" s="615" t="s">
        <v>348</v>
      </c>
      <c r="C41" s="616">
        <v>2181259</v>
      </c>
      <c r="D41" s="616">
        <v>587094</v>
      </c>
      <c r="E41" s="616">
        <v>8219</v>
      </c>
      <c r="F41" s="636">
        <f t="shared" si="2"/>
        <v>93</v>
      </c>
      <c r="G41" s="636">
        <f t="shared" si="2"/>
        <v>91.7</v>
      </c>
      <c r="H41" s="637">
        <f t="shared" si="2"/>
        <v>91.7</v>
      </c>
    </row>
    <row r="42" spans="1:8" ht="30" hidden="1" customHeight="1" x14ac:dyDescent="0.15">
      <c r="A42" s="840" t="s">
        <v>349</v>
      </c>
      <c r="B42" s="612" t="s">
        <v>350</v>
      </c>
      <c r="C42" s="634">
        <v>10374275</v>
      </c>
      <c r="D42" s="634">
        <v>3540741</v>
      </c>
      <c r="E42" s="634">
        <v>49570</v>
      </c>
      <c r="F42" s="638">
        <f t="shared" si="2"/>
        <v>95.9</v>
      </c>
      <c r="G42" s="638">
        <f t="shared" si="2"/>
        <v>95.5</v>
      </c>
      <c r="H42" s="639">
        <f t="shared" si="2"/>
        <v>95.5</v>
      </c>
    </row>
    <row r="43" spans="1:8" ht="30" hidden="1" customHeight="1" x14ac:dyDescent="0.15">
      <c r="A43" s="844" t="s">
        <v>349</v>
      </c>
      <c r="B43" s="621" t="s">
        <v>93</v>
      </c>
      <c r="C43" s="622">
        <f>C41+C42</f>
        <v>12555534</v>
      </c>
      <c r="D43" s="622">
        <f>D41+D42</f>
        <v>4127835</v>
      </c>
      <c r="E43" s="622">
        <f>E41+E42</f>
        <v>57789</v>
      </c>
      <c r="F43" s="640">
        <f t="shared" si="2"/>
        <v>95.4</v>
      </c>
      <c r="G43" s="640">
        <f t="shared" si="2"/>
        <v>95</v>
      </c>
      <c r="H43" s="637">
        <f t="shared" si="2"/>
        <v>95</v>
      </c>
    </row>
    <row r="44" spans="1:8" ht="30" hidden="1" customHeight="1" x14ac:dyDescent="0.15">
      <c r="A44" s="840" t="s">
        <v>38</v>
      </c>
      <c r="B44" s="615" t="s">
        <v>348</v>
      </c>
      <c r="C44" s="616">
        <v>1925750</v>
      </c>
      <c r="D44" s="616">
        <v>523374</v>
      </c>
      <c r="E44" s="616">
        <v>7327</v>
      </c>
      <c r="F44" s="636">
        <f t="shared" si="2"/>
        <v>88.3</v>
      </c>
      <c r="G44" s="636">
        <f t="shared" si="2"/>
        <v>89.1</v>
      </c>
      <c r="H44" s="642">
        <f t="shared" si="2"/>
        <v>89.1</v>
      </c>
    </row>
    <row r="45" spans="1:8" ht="30" hidden="1" customHeight="1" x14ac:dyDescent="0.15">
      <c r="A45" s="840" t="s">
        <v>349</v>
      </c>
      <c r="B45" s="612" t="s">
        <v>350</v>
      </c>
      <c r="C45" s="634">
        <v>10353005</v>
      </c>
      <c r="D45" s="634">
        <v>3524266</v>
      </c>
      <c r="E45" s="634">
        <v>49340</v>
      </c>
      <c r="F45" s="638">
        <f t="shared" si="2"/>
        <v>99.8</v>
      </c>
      <c r="G45" s="638">
        <f t="shared" si="2"/>
        <v>99.5</v>
      </c>
      <c r="H45" s="639">
        <f t="shared" si="2"/>
        <v>99.5</v>
      </c>
    </row>
    <row r="46" spans="1:8" ht="30" hidden="1" customHeight="1" x14ac:dyDescent="0.15">
      <c r="A46" s="840" t="s">
        <v>349</v>
      </c>
      <c r="B46" s="621" t="s">
        <v>93</v>
      </c>
      <c r="C46" s="622">
        <f>C44+C45</f>
        <v>12278755</v>
      </c>
      <c r="D46" s="622">
        <f>D44+D45</f>
        <v>4047640</v>
      </c>
      <c r="E46" s="622">
        <f>E44+E45</f>
        <v>56667</v>
      </c>
      <c r="F46" s="640">
        <f t="shared" si="2"/>
        <v>97.8</v>
      </c>
      <c r="G46" s="640">
        <f t="shared" si="2"/>
        <v>98.1</v>
      </c>
      <c r="H46" s="637">
        <f t="shared" si="2"/>
        <v>98.1</v>
      </c>
    </row>
    <row r="47" spans="1:8" ht="30" hidden="1" customHeight="1" x14ac:dyDescent="0.15">
      <c r="A47" s="839" t="s">
        <v>39</v>
      </c>
      <c r="B47" s="615" t="s">
        <v>348</v>
      </c>
      <c r="C47" s="616">
        <v>1897220</v>
      </c>
      <c r="D47" s="616">
        <v>509997</v>
      </c>
      <c r="E47" s="616">
        <v>7140</v>
      </c>
      <c r="F47" s="636">
        <f t="shared" si="2"/>
        <v>98.5</v>
      </c>
      <c r="G47" s="636">
        <f>ROUND((D47/D44)*100,1)</f>
        <v>97.4</v>
      </c>
      <c r="H47" s="642">
        <f t="shared" si="2"/>
        <v>97.4</v>
      </c>
    </row>
    <row r="48" spans="1:8" ht="30" hidden="1" customHeight="1" x14ac:dyDescent="0.15">
      <c r="A48" s="840" t="s">
        <v>349</v>
      </c>
      <c r="B48" s="612" t="s">
        <v>350</v>
      </c>
      <c r="C48" s="634">
        <v>9773119</v>
      </c>
      <c r="D48" s="634">
        <v>3326502</v>
      </c>
      <c r="E48" s="634">
        <v>46571</v>
      </c>
      <c r="F48" s="638">
        <f t="shared" si="2"/>
        <v>94.4</v>
      </c>
      <c r="G48" s="638">
        <f t="shared" si="2"/>
        <v>94.4</v>
      </c>
      <c r="H48" s="639">
        <f t="shared" si="2"/>
        <v>94.4</v>
      </c>
    </row>
    <row r="49" spans="1:8" ht="30" hidden="1" customHeight="1" x14ac:dyDescent="0.15">
      <c r="A49" s="844" t="s">
        <v>349</v>
      </c>
      <c r="B49" s="612" t="s">
        <v>93</v>
      </c>
      <c r="C49" s="634">
        <f>C47+C48</f>
        <v>11670339</v>
      </c>
      <c r="D49" s="634">
        <f>D47+D48</f>
        <v>3836499</v>
      </c>
      <c r="E49" s="634">
        <f>E47+E48</f>
        <v>53711</v>
      </c>
      <c r="F49" s="638">
        <f>ROUND((C49/C46)*100,1)</f>
        <v>95</v>
      </c>
      <c r="G49" s="638">
        <f t="shared" si="2"/>
        <v>94.8</v>
      </c>
      <c r="H49" s="639">
        <f t="shared" si="2"/>
        <v>94.8</v>
      </c>
    </row>
    <row r="50" spans="1:8" ht="30" customHeight="1" x14ac:dyDescent="0.15">
      <c r="A50" s="840" t="s">
        <v>134</v>
      </c>
      <c r="B50" s="621" t="s">
        <v>348</v>
      </c>
      <c r="C50" s="622">
        <v>1882503</v>
      </c>
      <c r="D50" s="622">
        <v>509331</v>
      </c>
      <c r="E50" s="622">
        <v>7130</v>
      </c>
      <c r="F50" s="640">
        <f>ROUND((C50/C47)*100,1)</f>
        <v>99.2</v>
      </c>
      <c r="G50" s="640">
        <f t="shared" si="2"/>
        <v>99.9</v>
      </c>
      <c r="H50" s="637">
        <f t="shared" si="2"/>
        <v>99.9</v>
      </c>
    </row>
    <row r="51" spans="1:8" ht="30" customHeight="1" x14ac:dyDescent="0.15">
      <c r="A51" s="840" t="s">
        <v>349</v>
      </c>
      <c r="B51" s="612" t="s">
        <v>350</v>
      </c>
      <c r="C51" s="634">
        <v>9520275</v>
      </c>
      <c r="D51" s="634">
        <v>3201361</v>
      </c>
      <c r="E51" s="634">
        <v>44819</v>
      </c>
      <c r="F51" s="638">
        <f>ROUND((C51/C48)*100,1)</f>
        <v>97.4</v>
      </c>
      <c r="G51" s="638">
        <f t="shared" si="2"/>
        <v>96.2</v>
      </c>
      <c r="H51" s="639">
        <f t="shared" si="2"/>
        <v>96.2</v>
      </c>
    </row>
    <row r="52" spans="1:8" ht="30" customHeight="1" x14ac:dyDescent="0.15">
      <c r="A52" s="840" t="s">
        <v>349</v>
      </c>
      <c r="B52" s="621" t="s">
        <v>93</v>
      </c>
      <c r="C52" s="622">
        <f>C50+C51</f>
        <v>11402778</v>
      </c>
      <c r="D52" s="622">
        <f>D50+D51</f>
        <v>3710692</v>
      </c>
      <c r="E52" s="622">
        <f>E50+E51</f>
        <v>51949</v>
      </c>
      <c r="F52" s="640">
        <f>ROUND((C52/C49)*100,1)</f>
        <v>97.7</v>
      </c>
      <c r="G52" s="640">
        <f t="shared" si="2"/>
        <v>96.7</v>
      </c>
      <c r="H52" s="637">
        <f t="shared" si="2"/>
        <v>96.7</v>
      </c>
    </row>
    <row r="53" spans="1:8" ht="30" customHeight="1" x14ac:dyDescent="0.15">
      <c r="A53" s="839" t="s">
        <v>41</v>
      </c>
      <c r="B53" s="615" t="s">
        <v>348</v>
      </c>
      <c r="C53" s="616">
        <v>1807241</v>
      </c>
      <c r="D53" s="616">
        <v>471372</v>
      </c>
      <c r="E53" s="616">
        <v>6599</v>
      </c>
      <c r="F53" s="636">
        <f t="shared" ref="F53:H55" si="3">ROUND((C53/C47)*100,1)</f>
        <v>95.3</v>
      </c>
      <c r="G53" s="636">
        <f t="shared" si="3"/>
        <v>92.4</v>
      </c>
      <c r="H53" s="642">
        <f t="shared" si="3"/>
        <v>92.4</v>
      </c>
    </row>
    <row r="54" spans="1:8" ht="30" customHeight="1" x14ac:dyDescent="0.15">
      <c r="A54" s="840" t="s">
        <v>349</v>
      </c>
      <c r="B54" s="612" t="s">
        <v>350</v>
      </c>
      <c r="C54" s="634">
        <v>9359471</v>
      </c>
      <c r="D54" s="634">
        <v>3115047</v>
      </c>
      <c r="E54" s="634">
        <v>43610</v>
      </c>
      <c r="F54" s="638">
        <f t="shared" si="3"/>
        <v>95.8</v>
      </c>
      <c r="G54" s="638">
        <f t="shared" si="3"/>
        <v>93.6</v>
      </c>
      <c r="H54" s="639">
        <f t="shared" si="3"/>
        <v>93.6</v>
      </c>
    </row>
    <row r="55" spans="1:8" ht="30" customHeight="1" x14ac:dyDescent="0.15">
      <c r="A55" s="840" t="s">
        <v>349</v>
      </c>
      <c r="B55" s="621" t="s">
        <v>93</v>
      </c>
      <c r="C55" s="622">
        <f>C53+C54</f>
        <v>11166712</v>
      </c>
      <c r="D55" s="622">
        <f>D53+D54</f>
        <v>3586419</v>
      </c>
      <c r="E55" s="622">
        <f>E53+E54</f>
        <v>50209</v>
      </c>
      <c r="F55" s="640">
        <f t="shared" si="3"/>
        <v>95.7</v>
      </c>
      <c r="G55" s="640">
        <f t="shared" si="3"/>
        <v>93.5</v>
      </c>
      <c r="H55" s="637">
        <f t="shared" si="3"/>
        <v>93.5</v>
      </c>
    </row>
    <row r="56" spans="1:8" ht="30" customHeight="1" x14ac:dyDescent="0.15">
      <c r="A56" s="839" t="s">
        <v>42</v>
      </c>
      <c r="B56" s="615" t="s">
        <v>348</v>
      </c>
      <c r="C56" s="616">
        <v>1946568</v>
      </c>
      <c r="D56" s="616">
        <v>526796</v>
      </c>
      <c r="E56" s="616">
        <v>7375</v>
      </c>
      <c r="F56" s="636">
        <f t="shared" ref="F56:H64" si="4">ROUND((C56/C53)*100,1)</f>
        <v>107.7</v>
      </c>
      <c r="G56" s="636">
        <f t="shared" si="4"/>
        <v>111.8</v>
      </c>
      <c r="H56" s="643">
        <f t="shared" si="4"/>
        <v>111.8</v>
      </c>
    </row>
    <row r="57" spans="1:8" ht="30" customHeight="1" x14ac:dyDescent="0.15">
      <c r="A57" s="840" t="s">
        <v>349</v>
      </c>
      <c r="B57" s="612" t="s">
        <v>350</v>
      </c>
      <c r="C57" s="634">
        <v>9216113</v>
      </c>
      <c r="D57" s="634">
        <v>3026694</v>
      </c>
      <c r="E57" s="634">
        <v>42374</v>
      </c>
      <c r="F57" s="638">
        <f t="shared" si="4"/>
        <v>98.5</v>
      </c>
      <c r="G57" s="638">
        <f t="shared" si="4"/>
        <v>97.2</v>
      </c>
      <c r="H57" s="644">
        <f t="shared" si="4"/>
        <v>97.2</v>
      </c>
    </row>
    <row r="58" spans="1:8" ht="30" customHeight="1" x14ac:dyDescent="0.15">
      <c r="A58" s="840" t="s">
        <v>349</v>
      </c>
      <c r="B58" s="621" t="s">
        <v>93</v>
      </c>
      <c r="C58" s="622">
        <f>C56+C57</f>
        <v>11162681</v>
      </c>
      <c r="D58" s="622">
        <f>D56+D57</f>
        <v>3553490</v>
      </c>
      <c r="E58" s="622">
        <f>E56+E57</f>
        <v>49749</v>
      </c>
      <c r="F58" s="640">
        <f t="shared" si="4"/>
        <v>100</v>
      </c>
      <c r="G58" s="640">
        <f t="shared" si="4"/>
        <v>99.1</v>
      </c>
      <c r="H58" s="637">
        <f t="shared" si="4"/>
        <v>99.1</v>
      </c>
    </row>
    <row r="59" spans="1:8" ht="30" customHeight="1" x14ac:dyDescent="0.15">
      <c r="A59" s="839" t="s">
        <v>43</v>
      </c>
      <c r="B59" s="615" t="s">
        <v>348</v>
      </c>
      <c r="C59" s="616">
        <v>1886756</v>
      </c>
      <c r="D59" s="616">
        <v>504010</v>
      </c>
      <c r="E59" s="616">
        <v>7056</v>
      </c>
      <c r="F59" s="636">
        <f t="shared" si="4"/>
        <v>96.9</v>
      </c>
      <c r="G59" s="636">
        <f t="shared" si="4"/>
        <v>95.7</v>
      </c>
      <c r="H59" s="643">
        <f t="shared" si="4"/>
        <v>95.7</v>
      </c>
    </row>
    <row r="60" spans="1:8" ht="30" customHeight="1" x14ac:dyDescent="0.15">
      <c r="A60" s="840" t="s">
        <v>349</v>
      </c>
      <c r="B60" s="612" t="s">
        <v>350</v>
      </c>
      <c r="C60" s="634">
        <v>9205650</v>
      </c>
      <c r="D60" s="634">
        <v>2945467</v>
      </c>
      <c r="E60" s="634">
        <v>41236</v>
      </c>
      <c r="F60" s="638">
        <f t="shared" si="4"/>
        <v>99.9</v>
      </c>
      <c r="G60" s="638">
        <f t="shared" si="4"/>
        <v>97.3</v>
      </c>
      <c r="H60" s="644">
        <f t="shared" si="4"/>
        <v>97.3</v>
      </c>
    </row>
    <row r="61" spans="1:8" ht="30" customHeight="1" x14ac:dyDescent="0.15">
      <c r="A61" s="840" t="s">
        <v>349</v>
      </c>
      <c r="B61" s="621" t="s">
        <v>93</v>
      </c>
      <c r="C61" s="622">
        <f>C59+C60</f>
        <v>11092406</v>
      </c>
      <c r="D61" s="622">
        <f>D59+D60</f>
        <v>3449477</v>
      </c>
      <c r="E61" s="622">
        <f>E59+E60</f>
        <v>48292</v>
      </c>
      <c r="F61" s="640">
        <f t="shared" si="4"/>
        <v>99.4</v>
      </c>
      <c r="G61" s="640">
        <f t="shared" si="4"/>
        <v>97.1</v>
      </c>
      <c r="H61" s="637">
        <f t="shared" si="4"/>
        <v>97.1</v>
      </c>
    </row>
    <row r="62" spans="1:8" s="649" customFormat="1" ht="30" customHeight="1" x14ac:dyDescent="0.15">
      <c r="A62" s="841" t="s">
        <v>44</v>
      </c>
      <c r="B62" s="645" t="s">
        <v>348</v>
      </c>
      <c r="C62" s="646">
        <v>1852885</v>
      </c>
      <c r="D62" s="646">
        <v>490953</v>
      </c>
      <c r="E62" s="646">
        <v>6873</v>
      </c>
      <c r="F62" s="647">
        <f t="shared" si="4"/>
        <v>98.2</v>
      </c>
      <c r="G62" s="647">
        <f t="shared" si="4"/>
        <v>97.4</v>
      </c>
      <c r="H62" s="648">
        <f t="shared" si="4"/>
        <v>97.4</v>
      </c>
    </row>
    <row r="63" spans="1:8" s="649" customFormat="1" ht="30" customHeight="1" x14ac:dyDescent="0.15">
      <c r="A63" s="842" t="s">
        <v>349</v>
      </c>
      <c r="B63" s="650" t="s">
        <v>350</v>
      </c>
      <c r="C63" s="651">
        <v>9037546</v>
      </c>
      <c r="D63" s="651">
        <v>2922264</v>
      </c>
      <c r="E63" s="651">
        <v>40912</v>
      </c>
      <c r="F63" s="652">
        <f t="shared" si="4"/>
        <v>98.2</v>
      </c>
      <c r="G63" s="652">
        <f t="shared" si="4"/>
        <v>99.2</v>
      </c>
      <c r="H63" s="653">
        <f t="shared" si="4"/>
        <v>99.2</v>
      </c>
    </row>
    <row r="64" spans="1:8" s="649" customFormat="1" ht="30" customHeight="1" thickBot="1" x14ac:dyDescent="0.2">
      <c r="A64" s="843" t="s">
        <v>349</v>
      </c>
      <c r="B64" s="654" t="s">
        <v>93</v>
      </c>
      <c r="C64" s="655">
        <f>C62+C63</f>
        <v>10890431</v>
      </c>
      <c r="D64" s="655">
        <f>D62+D63</f>
        <v>3413217</v>
      </c>
      <c r="E64" s="655">
        <f>E62+E63</f>
        <v>47785</v>
      </c>
      <c r="F64" s="656">
        <f t="shared" si="4"/>
        <v>98.2</v>
      </c>
      <c r="G64" s="656">
        <f t="shared" si="4"/>
        <v>98.9</v>
      </c>
      <c r="H64" s="657">
        <f t="shared" si="4"/>
        <v>99</v>
      </c>
    </row>
  </sheetData>
  <mergeCells count="16">
    <mergeCell ref="A53:A55"/>
    <mergeCell ref="A56:A58"/>
    <mergeCell ref="A59:A61"/>
    <mergeCell ref="A62:A64"/>
    <mergeCell ref="A35:A37"/>
    <mergeCell ref="A38:A40"/>
    <mergeCell ref="A41:A43"/>
    <mergeCell ref="A44:A46"/>
    <mergeCell ref="A47:A49"/>
    <mergeCell ref="A50:A52"/>
    <mergeCell ref="F3:H3"/>
    <mergeCell ref="A3:A4"/>
    <mergeCell ref="B3:B4"/>
    <mergeCell ref="C3:C4"/>
    <mergeCell ref="D3:D4"/>
    <mergeCell ref="E3:E4"/>
  </mergeCells>
  <phoneticPr fontId="4"/>
  <printOptions horizontalCentered="1"/>
  <pageMargins left="0.59055118110236227" right="0.59055118110236227" top="0.39370078740157483" bottom="0.19685039370078741" header="0.59055118110236227" footer="0.19685039370078741"/>
  <pageSetup paperSize="9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3Ⅱ-1</vt:lpstr>
      <vt:lpstr>3Ⅱ-2</vt:lpstr>
      <vt:lpstr>3Ⅱ-3</vt:lpstr>
      <vt:lpstr>3Ⅱ-4</vt:lpstr>
      <vt:lpstr>3Ⅱ-5</vt:lpstr>
      <vt:lpstr>3Ⅱ-6</vt:lpstr>
      <vt:lpstr>3Ⅱ-7(1)(2)</vt:lpstr>
      <vt:lpstr>3Ⅱ-7(3)</vt:lpstr>
      <vt:lpstr>3Ⅱ-8</vt:lpstr>
      <vt:lpstr>3Ⅱ-9</vt:lpstr>
      <vt:lpstr>'3Ⅱ-1'!Print_Area</vt:lpstr>
      <vt:lpstr>'3Ⅱ-2'!Print_Area</vt:lpstr>
      <vt:lpstr>'3Ⅱ-3'!Print_Area</vt:lpstr>
      <vt:lpstr>'3Ⅱ-4'!Print_Area</vt:lpstr>
      <vt:lpstr>'3Ⅱ-5'!Print_Area</vt:lpstr>
      <vt:lpstr>'3Ⅱ-6'!Print_Area</vt:lpstr>
      <vt:lpstr>'3Ⅱ-7(1)(2)'!Print_Area</vt:lpstr>
      <vt:lpstr>'3Ⅱ-7(3)'!Print_Area</vt:lpstr>
      <vt:lpstr>'3Ⅱ-8'!Print_Area</vt:lpstr>
      <vt:lpstr>'3Ⅱ-9'!Print_Area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犬飼　はるの</dc:creator>
  <cp:lastModifiedBy>犬飼　はるの</cp:lastModifiedBy>
  <dcterms:created xsi:type="dcterms:W3CDTF">2023-11-29T05:12:29Z</dcterms:created>
  <dcterms:modified xsi:type="dcterms:W3CDTF">2023-11-29T07:36:09Z</dcterms:modified>
</cp:coreProperties>
</file>