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050" activeTab="0"/>
  </bookViews>
  <sheets>
    <sheet name="3Ⅱ-1" sheetId="1" r:id="rId1"/>
    <sheet name="3Ⅱ-2" sheetId="2" r:id="rId2"/>
    <sheet name="3Ⅱ-3" sheetId="3" r:id="rId3"/>
    <sheet name="3Ⅱ-4" sheetId="4" r:id="rId4"/>
    <sheet name="3Ⅱ-5" sheetId="5" r:id="rId5"/>
    <sheet name="3Ⅱ-6" sheetId="6" r:id="rId6"/>
    <sheet name="3Ⅱ-7(1)(2)" sheetId="7" r:id="rId7"/>
    <sheet name="3Ⅱ-7(3)" sheetId="8" r:id="rId8"/>
    <sheet name="3Ⅱ-8" sheetId="9" r:id="rId9"/>
    <sheet name="3Ⅱ-9" sheetId="10" r:id="rId10"/>
  </sheets>
  <definedNames>
    <definedName name="_xlnm.Print_Area" localSheetId="1">'3Ⅱ-2'!$A$1:$U$23</definedName>
    <definedName name="_xlnm.Print_Area" localSheetId="2">'3Ⅱ-3'!$A$1:$N$83</definedName>
    <definedName name="_xlnm.Print_Area" localSheetId="3">'3Ⅱ-4'!$A$1:$O$91</definedName>
    <definedName name="_xlnm.Print_Area" localSheetId="4">'3Ⅱ-5'!$A$1:$F$112</definedName>
    <definedName name="_xlnm.Print_Area" localSheetId="5">'3Ⅱ-6'!$A$1:$U$52</definedName>
    <definedName name="_xlnm.Print_Area" localSheetId="6">'3Ⅱ-7(1)(2)'!$A$1:$AN$41</definedName>
    <definedName name="_xlnm.Print_Area" localSheetId="7">'3Ⅱ-7(3)'!$A$1:$AN$62</definedName>
    <definedName name="_xlnm.Print_Area" localSheetId="8">'3Ⅱ-8'!$A$1:$H$61</definedName>
    <definedName name="_xlnm.Print_Area" localSheetId="9">'3Ⅱ-9'!$A$1:$G$75</definedName>
    <definedName name="Z_020B5ECE_0A29_4CEA_9438_E5A3DD333F2C_.wvu.PrintArea" localSheetId="3" hidden="1">'3Ⅱ-4'!$A$1:$O$92</definedName>
    <definedName name="Z_020B5ECE_0A29_4CEA_9438_E5A3DD333F2C_.wvu.Rows" localSheetId="3" hidden="1">'3Ⅱ-4'!$7:$18</definedName>
    <definedName name="Z_275A34DE_F3A2_4370_8519_285E674524C5_.wvu.PrintArea" localSheetId="2" hidden="1">'3Ⅱ-3'!$A$1:$N$47</definedName>
    <definedName name="Z_4195D552_F5C2_40FE_9B1D_346E7346B023_.wvu.Cols" localSheetId="5" hidden="1">'3Ⅱ-6'!#REF!</definedName>
    <definedName name="Z_511E53AE_CF75_424B_8243_C4DE9A73E7C0_.wvu.PrintArea" localSheetId="9" hidden="1">'3Ⅱ-9'!$A$1:$G$75</definedName>
    <definedName name="Z_511E53AE_CF75_424B_8243_C4DE9A73E7C0_.wvu.Rows" localSheetId="9" hidden="1">'3Ⅱ-9'!#REF!,'3Ⅱ-9'!#REF!,'3Ⅱ-9'!#REF!</definedName>
    <definedName name="Z_52DAF842_334B_4451_B574_74F8F1F40199_.wvu.PrintArea" localSheetId="9" hidden="1">'3Ⅱ-9'!$A$1:$G$60</definedName>
    <definedName name="Z_52DAF842_334B_4451_B574_74F8F1F40199_.wvu.Rows" localSheetId="9" hidden="1">'3Ⅱ-9'!#REF!,'3Ⅱ-9'!#REF!,'3Ⅱ-9'!#REF!</definedName>
    <definedName name="Z_5B9FC44B_0D34_45F9_9E94_9F9CFAB77010_.wvu.Rows" localSheetId="8" hidden="1">'3Ⅱ-8'!#REF!</definedName>
    <definedName name="Z_79BC4CFC_28C6_4675_BA8D_B6B5F356FCC3_.wvu.Cols" localSheetId="1" hidden="1">'3Ⅱ-2'!#REF!</definedName>
    <definedName name="Z_83F46E2E_4654_41BF_BA28_2FADEB6D6197_.wvu.Rows" localSheetId="4" hidden="1">'3Ⅱ-5'!$5:$20</definedName>
    <definedName name="Z_A54D2194_4D22_4686_9768_745BFE71CD3B_.wvu.Cols" localSheetId="7" hidden="1">'3Ⅱ-7(3)'!#REF!</definedName>
    <definedName name="Z_A54D2194_4D22_4686_9768_745BFE71CD3B_.wvu.PrintArea" localSheetId="7" hidden="1">'3Ⅱ-7(3)'!$A$2:$L$62</definedName>
    <definedName name="Z_A73C1E25_896D_4B61_AD61_140BB615508F_.wvu.Rows" localSheetId="4" hidden="1">'3Ⅱ-5'!$5:$20</definedName>
    <definedName name="Z_AF711E79_9D7B_4383_8588_A0BE26418181_.wvu.Cols" localSheetId="0" hidden="1">'3Ⅱ-1'!#REF!</definedName>
    <definedName name="Z_BB5629D8_201F_4062_983C_9501032A4E65_.wvu.Cols" localSheetId="5" hidden="1">'3Ⅱ-6'!#REF!</definedName>
    <definedName name="Z_C0C3DDC2_9DB6_4248_88B4_83119CCB010B_.wvu.PrintArea" localSheetId="3" hidden="1">'3Ⅱ-4'!$A$1:$O$91</definedName>
    <definedName name="Z_C0C3DDC2_9DB6_4248_88B4_83119CCB010B_.wvu.Rows" localSheetId="3" hidden="1">'3Ⅱ-4'!$7:$18</definedName>
    <definedName name="Z_C7478B11_5C87_4166_AFBA_6DD9E5ED1FF6_.wvu.PrintArea" localSheetId="9" hidden="1">'3Ⅱ-9'!$A$1:$G$75</definedName>
    <definedName name="Z_C7478B11_5C87_4166_AFBA_6DD9E5ED1FF6_.wvu.Rows" localSheetId="9" hidden="1">'3Ⅱ-9'!#REF!</definedName>
    <definedName name="Z_CD8F0BE0_64CC_4995_820C_F2F915FDC1CF_.wvu.Rows" localSheetId="8" hidden="1">'3Ⅱ-8'!#REF!</definedName>
    <definedName name="Z_CDCD9FEE_93AA_499D_87A9_9E6114C7131A_.wvu.PrintArea" localSheetId="7" hidden="1">'3Ⅱ-7(3)'!$A$2:$L$62</definedName>
    <definedName name="Z_D5062F68_F9D9_4F16_96E8_D92F3BAE9E40_.wvu.PrintArea" localSheetId="3" hidden="1">'3Ⅱ-4'!$A$1:$O$91</definedName>
    <definedName name="Z_D9727D69_F342_458D_BE61_6DF6500BE292_.wvu.Cols" localSheetId="1" hidden="1">'3Ⅱ-2'!#REF!</definedName>
    <definedName name="Z_F4B09AF6_2BF7_4B51_AB9F_67308B46B145_.wvu.Cols" localSheetId="7" hidden="1">'3Ⅱ-7(3)'!#REF!</definedName>
    <definedName name="Z_F4B09AF6_2BF7_4B51_AB9F_67308B46B145_.wvu.PrintArea" localSheetId="7" hidden="1">'3Ⅱ-7(3)'!$A$2:$AE$62</definedName>
    <definedName name="Z_F4B09AF6_2BF7_4B51_AB9F_67308B46B145_.wvu.Rows" localSheetId="7" hidden="1">'3Ⅱ-7(3)'!#REF!,'3Ⅱ-7(3)'!#REF!,'3Ⅱ-7(3)'!#REF!</definedName>
    <definedName name="Z_F9C741D3_857A_48CE_BAE4_522350C14D22_.wvu.PrintArea" localSheetId="2" hidden="1">'3Ⅱ-3'!$A$1:$N$47</definedName>
    <definedName name="Z_F9C741D3_857A_48CE_BAE4_522350C14D22_.wvu.Rows" localSheetId="2" hidden="1">'3Ⅱ-3'!$6:$17</definedName>
    <definedName name="Z_FB6125FC_FC8F_4F10_8946_A43C486BA62D_.wvu.PrintArea" localSheetId="2" hidden="1">'3Ⅱ-3'!$A$1:$N$47</definedName>
    <definedName name="Z_FB6125FC_FC8F_4F10_8946_A43C486BA62D_.wvu.Rows" localSheetId="2" hidden="1">'3Ⅱ-3'!$6:$17</definedName>
    <definedName name="Z_FDC79450_789F_4824_8FFF_7E8BF65651E2_.wvu.Cols" localSheetId="0" hidden="1">'3Ⅱ-1'!#REF!</definedName>
  </definedNames>
  <calcPr fullCalcOnLoad="1"/>
</workbook>
</file>

<file path=xl/sharedStrings.xml><?xml version="1.0" encoding="utf-8"?>
<sst xmlns="http://schemas.openxmlformats.org/spreadsheetml/2006/main" count="1743" uniqueCount="359">
  <si>
    <t>土地のみ</t>
  </si>
  <si>
    <t>家屋のみ</t>
  </si>
  <si>
    <t>土地・家屋・償却</t>
  </si>
  <si>
    <t>計</t>
  </si>
  <si>
    <t>前年比</t>
  </si>
  <si>
    <t>［参考］資産別納税義務者の調（概要調書）</t>
  </si>
  <si>
    <t>固定資産税</t>
  </si>
  <si>
    <t>土地</t>
  </si>
  <si>
    <t>家屋</t>
  </si>
  <si>
    <t>償却資産</t>
  </si>
  <si>
    <t>都市計画税</t>
  </si>
  <si>
    <t>土地・家屋</t>
  </si>
  <si>
    <t>固定資産税</t>
  </si>
  <si>
    <t>区分</t>
  </si>
  <si>
    <t>償却資産のみ</t>
  </si>
  <si>
    <r>
      <t>平成17年度</t>
    </r>
  </si>
  <si>
    <r>
      <t>平成24年度</t>
    </r>
  </si>
  <si>
    <t>（単位：人・％）</t>
  </si>
  <si>
    <t>（単位:人）</t>
  </si>
  <si>
    <t>平成25年度</t>
  </si>
  <si>
    <t>平成27年度</t>
  </si>
  <si>
    <t>平成26年度</t>
  </si>
  <si>
    <t>平成28年度</t>
  </si>
  <si>
    <t>平成27年度</t>
  </si>
  <si>
    <t>平成28年度</t>
  </si>
  <si>
    <t>平成29年度</t>
  </si>
  <si>
    <t>令和2年度</t>
  </si>
  <si>
    <t>令和2年度</t>
  </si>
  <si>
    <t>令和元年度</t>
  </si>
  <si>
    <t>令和元年度</t>
  </si>
  <si>
    <t>令和3年度</t>
  </si>
  <si>
    <t>令和3年度</t>
  </si>
  <si>
    <t>　１　固定資産税・都市計画税納税義務者の調（当初）</t>
  </si>
  <si>
    <t>Ⅱ　固定資産税・都市計画税</t>
  </si>
  <si>
    <t>令和4年度</t>
  </si>
  <si>
    <t>令和4年度</t>
  </si>
  <si>
    <t>平成16年度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</si>
  <si>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</si>
  <si>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</si>
  <si>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</si>
  <si>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</si>
  <si>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</si>
  <si>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</si>
  <si>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平成26年度</t>
  </si>
  <si>
    <t>平成29年度</t>
  </si>
  <si>
    <t>平成30年度</t>
  </si>
  <si>
    <t>平成30年度</t>
  </si>
  <si>
    <t>２　固定資産税・都市計画税調定額の調（当初）</t>
  </si>
  <si>
    <t>(1)固定資産税</t>
  </si>
  <si>
    <t>（単位:千円・％）</t>
  </si>
  <si>
    <t>土地</t>
  </si>
  <si>
    <t>家屋</t>
  </si>
  <si>
    <t>償却資産</t>
  </si>
  <si>
    <t>交付金</t>
  </si>
  <si>
    <t>国有資産分</t>
  </si>
  <si>
    <t>県有資産分</t>
  </si>
  <si>
    <t>合計</t>
  </si>
  <si>
    <t>(２)都市計画税</t>
  </si>
  <si>
    <t>３　土地の概要(地積・課税標準額等)累年比較(当初)</t>
  </si>
  <si>
    <t>(単位:平方メートル・％)</t>
  </si>
  <si>
    <t>年度</t>
  </si>
  <si>
    <t>地目</t>
  </si>
  <si>
    <t>地積(平方メートル)</t>
  </si>
  <si>
    <t>決定価格(千円)</t>
  </si>
  <si>
    <t>課税標準額</t>
  </si>
  <si>
    <t>筆数</t>
  </si>
  <si>
    <t>1平方メートル当り</t>
  </si>
  <si>
    <t>前年比</t>
  </si>
  <si>
    <t>評価総地積</t>
  </si>
  <si>
    <t>免税点以上</t>
  </si>
  <si>
    <t>総額</t>
  </si>
  <si>
    <t>評価総筆数</t>
  </si>
  <si>
    <t>平均価格（円）</t>
  </si>
  <si>
    <t>地積の</t>
  </si>
  <si>
    <t>価格の</t>
  </si>
  <si>
    <t>課税標準額</t>
  </si>
  <si>
    <t>筆数の</t>
  </si>
  <si>
    <t>（千円）</t>
  </si>
  <si>
    <t>免税点以上</t>
  </si>
  <si>
    <t>平成11年度</t>
  </si>
  <si>
    <t>宅地</t>
  </si>
  <si>
    <t>その他</t>
  </si>
  <si>
    <t>平成12年度</t>
  </si>
  <si>
    <t>平成13年度</t>
  </si>
  <si>
    <t>平成14年度</t>
  </si>
  <si>
    <t>平成15年度</t>
  </si>
  <si>
    <t>平成17年度</t>
  </si>
  <si>
    <t>平成24年度</t>
  </si>
  <si>
    <t>宅地</t>
  </si>
  <si>
    <t>平成25年度</t>
  </si>
  <si>
    <t>その他</t>
  </si>
  <si>
    <t>計</t>
  </si>
  <si>
    <t>田</t>
  </si>
  <si>
    <t>畑</t>
  </si>
  <si>
    <t>池沼</t>
  </si>
  <si>
    <t>山林</t>
  </si>
  <si>
    <t>原野</t>
  </si>
  <si>
    <t>雑種地</t>
  </si>
  <si>
    <t>「概要調書・第2表  総括表」による。</t>
  </si>
  <si>
    <t>(注)   平均価格＝決定価格の総額／評価総地積</t>
  </si>
  <si>
    <t xml:space="preserve"> </t>
  </si>
  <si>
    <t>※最新年度の前年比入力注意（分母に注意）</t>
  </si>
  <si>
    <t>４　家屋の概要（課税標準額等）累年比較（当初）</t>
  </si>
  <si>
    <t>（単位:平方メートル・％）</t>
  </si>
  <si>
    <t>床面積（平方メートル）</t>
  </si>
  <si>
    <t>決定価格（千円）</t>
  </si>
  <si>
    <t>棟数</t>
  </si>
  <si>
    <t>１平方メートル当り</t>
  </si>
  <si>
    <t>評価総面積</t>
  </si>
  <si>
    <t>評価総棟数</t>
  </si>
  <si>
    <t>床面積の</t>
  </si>
  <si>
    <t>棟数の</t>
  </si>
  <si>
    <t>平成11年度</t>
  </si>
  <si>
    <t>木造</t>
  </si>
  <si>
    <t>非木造</t>
  </si>
  <si>
    <t>平成12年度</t>
  </si>
  <si>
    <t>木       造</t>
  </si>
  <si>
    <t>非  木  造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</si>
  <si>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</si>
  <si>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</si>
  <si>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</si>
  <si>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</si>
  <si>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</si>
  <si>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</si>
  <si>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</si>
  <si>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</si>
  <si>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</si>
  <si>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</si>
  <si>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</si>
  <si>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平成25年度</t>
  </si>
  <si>
    <t>木       造</t>
  </si>
  <si>
    <t>非  木  造</t>
  </si>
  <si>
    <t>平成26年度</t>
  </si>
  <si>
    <t>平成27年度</t>
  </si>
  <si>
    <t>令和元年度</t>
  </si>
  <si>
    <t>令和2年度</t>
  </si>
  <si>
    <t>令和3年度</t>
  </si>
  <si>
    <t>令和4年度</t>
  </si>
  <si>
    <t>専用住宅</t>
  </si>
  <si>
    <t>共同住宅寄宿舎</t>
  </si>
  <si>
    <t>木</t>
  </si>
  <si>
    <t>併用住宅</t>
  </si>
  <si>
    <t>旅館等</t>
  </si>
  <si>
    <t>事務所・銀行・店舗</t>
  </si>
  <si>
    <t>造</t>
  </si>
  <si>
    <t>工場・倉庫</t>
  </si>
  <si>
    <t>事務所・店舗・百貨店</t>
  </si>
  <si>
    <t>非</t>
  </si>
  <si>
    <t>住宅・アパート</t>
  </si>
  <si>
    <t>木</t>
  </si>
  <si>
    <t>ホテル・病院</t>
  </si>
  <si>
    <t>工場・倉庫・市場</t>
  </si>
  <si>
    <t>「概要調書・第24表～第29表」による。</t>
  </si>
  <si>
    <t>５ 償却資産の概要（課税標準額等）累年比較（当初）</t>
  </si>
  <si>
    <t>（単位:千円・％）</t>
  </si>
  <si>
    <t>決定価格</t>
  </si>
  <si>
    <t>市長決定分</t>
  </si>
  <si>
    <t>自治大臣配分</t>
  </si>
  <si>
    <t>知事配分</t>
  </si>
  <si>
    <t>市長決定分</t>
  </si>
  <si>
    <t>総務大臣配分</t>
  </si>
  <si>
    <t>知事配分</t>
  </si>
  <si>
    <t>平成24年度</t>
  </si>
  <si>
    <t>-</t>
  </si>
  <si>
    <t>-</t>
  </si>
  <si>
    <t>総務大臣配分</t>
  </si>
  <si>
    <t>「概要調書・第70表」による</t>
  </si>
  <si>
    <t>［参考］令和4年度市長決定分の内訳</t>
  </si>
  <si>
    <t>（単位:千円）</t>
  </si>
  <si>
    <t>課税標準額の内訳</t>
  </si>
  <si>
    <t>特例適用のもの</t>
  </si>
  <si>
    <t>特例適用以外のもの</t>
  </si>
  <si>
    <t>構築物</t>
  </si>
  <si>
    <t>機械及び装置</t>
  </si>
  <si>
    <t>船舶</t>
  </si>
  <si>
    <t>航空機</t>
  </si>
  <si>
    <t>車両及び運搬具</t>
  </si>
  <si>
    <t>工具・器具及び備品</t>
  </si>
  <si>
    <t>６　軽減税額の累年比較（当初）</t>
  </si>
  <si>
    <t>(単位:千円・平方メートル・％）</t>
  </si>
  <si>
    <t>該当条文</t>
  </si>
  <si>
    <t>法附則第15条の6第1項
（新築住宅）</t>
  </si>
  <si>
    <t>床面積</t>
  </si>
  <si>
    <t>軽減税額</t>
  </si>
  <si>
    <t>法附則第15条の6第2項
（中高層耐火住宅）</t>
  </si>
  <si>
    <t>法附則第15条の7第1項
（長期優良住宅）</t>
  </si>
  <si>
    <t>法附則第15条の7第2項
（長期優良・中高
層耐火住宅）</t>
  </si>
  <si>
    <t>法附則第15条の8第1項
（市街地再開発事業）</t>
  </si>
  <si>
    <t>床面積</t>
  </si>
  <si>
    <t>前年比</t>
  </si>
  <si>
    <t>軽減税額</t>
  </si>
  <si>
    <t>法附則第15条の8第2項
（高齢者優良賃貸住宅）</t>
  </si>
  <si>
    <t>法附則第15条の9第1項
（耐震基準適合住宅）</t>
  </si>
  <si>
    <t>法附則第15条の9第4項
（バリアフリー改修住宅）
（区分所有以外）</t>
  </si>
  <si>
    <t>法附則第15条の9第5項
（バリアフリー改修住宅）
（区分所有）</t>
  </si>
  <si>
    <t>法附則第15条の9第9項
（熱損失防止改修住宅）</t>
  </si>
  <si>
    <t>平成27年附則第17条12項
（高齢者優良賃貸住宅）</t>
  </si>
  <si>
    <t>平成28年附則第18条11項
（バリアフリー改修住宅）</t>
  </si>
  <si>
    <t>「概要調書・第37表」による。</t>
  </si>
  <si>
    <t>７　課税標準の特例累年比較（当初）</t>
  </si>
  <si>
    <t>(1)土地</t>
  </si>
  <si>
    <t>該当条文等</t>
  </si>
  <si>
    <t>決定価格</t>
  </si>
  <si>
    <t>課税標準額</t>
  </si>
  <si>
    <t>法349条の3第9項</t>
  </si>
  <si>
    <t>日本放送協会</t>
  </si>
  <si>
    <t>法349条の3第11項</t>
  </si>
  <si>
    <t>登録有形文化財等の敷地</t>
  </si>
  <si>
    <t>法附則第15条第24項</t>
  </si>
  <si>
    <t>日本郵政公社民営化に係る承継特例</t>
  </si>
  <si>
    <t>法附則第15条第53項</t>
  </si>
  <si>
    <t>軽自動車検査協会</t>
  </si>
  <si>
    <t>法附則第15条第32項</t>
  </si>
  <si>
    <t>農地中間管理機構に賃貸借権設定した農地（存続期間10年以上）</t>
  </si>
  <si>
    <t>農地中間管理機構に賃貸借権設定した農地（存続期間15年以上）</t>
  </si>
  <si>
    <t>法附則第15条第33項</t>
  </si>
  <si>
    <t>特定事業所内保育施設</t>
  </si>
  <si>
    <t>法附則第15条の3第1項</t>
  </si>
  <si>
    <t>旅客会社等に係る承継特例</t>
  </si>
  <si>
    <t>法349条の3第28項</t>
  </si>
  <si>
    <t>(2)家屋</t>
  </si>
  <si>
    <t>令和元年度</t>
  </si>
  <si>
    <t>特例価額</t>
  </si>
  <si>
    <t>特例価額</t>
  </si>
  <si>
    <t>日本放送協会用家屋</t>
  </si>
  <si>
    <t>法349条の3第11項</t>
  </si>
  <si>
    <t>登録有形文化財等</t>
  </si>
  <si>
    <t>法349条の3第23項</t>
  </si>
  <si>
    <t>信用協同組合等</t>
  </si>
  <si>
    <t>法349条の3第30項</t>
  </si>
  <si>
    <t>特定信用協同組合等（既存分）</t>
  </si>
  <si>
    <t>法附則第15条第26項</t>
  </si>
  <si>
    <t>鉄軌道事業者等が駅で行う改良工事</t>
  </si>
  <si>
    <t>旅客会社等に係る承継特例</t>
  </si>
  <si>
    <t>平成７年附則第６条第５項</t>
  </si>
  <si>
    <t>平成14年附則第5条第18項</t>
  </si>
  <si>
    <t>介護老人保健施設</t>
  </si>
  <si>
    <t>平成15年附則第11条第17項</t>
  </si>
  <si>
    <t>路外駐車場</t>
  </si>
  <si>
    <t>平成15年附則第11条第９項</t>
  </si>
  <si>
    <t>平成18年附則第13条第17項</t>
  </si>
  <si>
    <t>平成19年附則第8条第１項</t>
  </si>
  <si>
    <t>特定信用協同組合等</t>
  </si>
  <si>
    <t>平成19年附則第8条第２項</t>
  </si>
  <si>
    <t>特定信用協同組合等以外の信用協同組合等</t>
  </si>
  <si>
    <t>法附則第64条</t>
  </si>
  <si>
    <t>新型コロナ先端設備</t>
  </si>
  <si>
    <t>「概要調書」による。</t>
  </si>
  <si>
    <t>７　課税標準の特例累年比較(当初)</t>
  </si>
  <si>
    <t>(3)償却資産</t>
  </si>
  <si>
    <t>該当条文等(特例率)</t>
  </si>
  <si>
    <t>令和元年度</t>
  </si>
  <si>
    <t>令和2年度</t>
  </si>
  <si>
    <t>令和3年度</t>
  </si>
  <si>
    <t>令和4年度</t>
  </si>
  <si>
    <t>法349条の3</t>
  </si>
  <si>
    <t xml:space="preserve"> </t>
  </si>
  <si>
    <t>旧第1項</t>
  </si>
  <si>
    <t>変・送電設備（1/3）</t>
  </si>
  <si>
    <t>変・送電設備（2/3）</t>
  </si>
  <si>
    <t>物品製造業（1/2）</t>
  </si>
  <si>
    <t>物品製造業（3/4）</t>
  </si>
  <si>
    <t>ガス事業設備（1/3）</t>
  </si>
  <si>
    <t>法第349条の3第2項</t>
  </si>
  <si>
    <t>ガス事業設備（2/3）</t>
  </si>
  <si>
    <t>法第349条の3第9項</t>
  </si>
  <si>
    <t>日本放送協会設備</t>
  </si>
  <si>
    <t>法第349条の3第15項</t>
  </si>
  <si>
    <t>宇宙航空研究開発機構</t>
  </si>
  <si>
    <t>法第349条の3第19項</t>
  </si>
  <si>
    <t>新エネルギー設備(1/3)</t>
  </si>
  <si>
    <t>　　　・産業技術総合開発機構</t>
  </si>
  <si>
    <t>新エネルギー設備(2/3)</t>
  </si>
  <si>
    <t>法第349条の3第20項</t>
  </si>
  <si>
    <t>科学技術振興機構</t>
  </si>
  <si>
    <t>法第349条の3第23項</t>
  </si>
  <si>
    <t>信用協同組合等</t>
  </si>
  <si>
    <t>法第349条の3第27項</t>
  </si>
  <si>
    <t>家庭的保育事業</t>
  </si>
  <si>
    <t>軽自動車検査協会(1/3)</t>
  </si>
  <si>
    <t>法第349条の3
旧第28項</t>
  </si>
  <si>
    <t>軽自動車検査協会(1/6)</t>
  </si>
  <si>
    <t>軽自動車検査協会(1/2)</t>
  </si>
  <si>
    <t>法附則第15条</t>
  </si>
  <si>
    <t>　　　　　  第2項</t>
  </si>
  <si>
    <t>公共の危害防止施設等（1/6）</t>
  </si>
  <si>
    <t>　　　　　　 〃　　　　　　　（1/3)</t>
  </si>
  <si>
    <t>1号（地域決定型地方税制特例措置（わがまち特例）適用分）</t>
  </si>
  <si>
    <t>　　　　　第53項</t>
  </si>
  <si>
    <t>軽自動車検査協</t>
  </si>
  <si>
    <t>　　　　　第33項</t>
  </si>
  <si>
    <t>　　　　　第41項</t>
  </si>
  <si>
    <t>先端設備等</t>
  </si>
  <si>
    <t>　　　　旧10項</t>
  </si>
  <si>
    <t>特定駐車場</t>
  </si>
  <si>
    <t>　　　　 旧第3項</t>
  </si>
  <si>
    <t>公害防止設備</t>
  </si>
  <si>
    <t>　　　　旧第  5項</t>
  </si>
  <si>
    <t>公共危害防止構築物(1/3)</t>
  </si>
  <si>
    <t>　　　   旧第8項</t>
  </si>
  <si>
    <t>高度テレビジョン放送施設(3/4)</t>
  </si>
  <si>
    <t>　　　　　　 〃　　　　　　　  （4/5)</t>
  </si>
  <si>
    <t>　　　　旧第13項</t>
  </si>
  <si>
    <t>救急医療用機器</t>
  </si>
  <si>
    <t>　　　　旧第15項</t>
  </si>
  <si>
    <t>老人保健施設(5/6)</t>
  </si>
  <si>
    <t>　　　　　　〃</t>
  </si>
  <si>
    <t>老人保健施設(7/8)</t>
  </si>
  <si>
    <t>広帯域加入者網構築設備（2/3）</t>
  </si>
  <si>
    <t>　　　　　　〃</t>
  </si>
  <si>
    <t>　　　　　　〃　　　　　　　　　（4/5)</t>
  </si>
  <si>
    <t>　　　　　　〃　　　　　　　　　（3/4)</t>
  </si>
  <si>
    <t>　　　　旧第20項</t>
  </si>
  <si>
    <t>電気通信信頼性向上設備（3/4)</t>
  </si>
  <si>
    <t>　　　　　　〃　　　　　　　　　（4/5)</t>
  </si>
  <si>
    <t>　　　　　　〃　　　　　　　　　（5/6)</t>
  </si>
  <si>
    <t>　　　　旧第24項</t>
  </si>
  <si>
    <t>日本郵政公社の民営化に係る継承特例</t>
  </si>
  <si>
    <t>　　　　旧第26項</t>
  </si>
  <si>
    <t>電線類の地中化設備(9/10)</t>
  </si>
  <si>
    <t>　　　　旧第27項</t>
  </si>
  <si>
    <t>特定特殊自動車（1/2)</t>
  </si>
  <si>
    <t>　　　　旧28項(2)</t>
  </si>
  <si>
    <t>電気通信高度化設備(3/4)</t>
  </si>
  <si>
    <t>電気通信高度化設備(5/6)</t>
  </si>
  <si>
    <t>電気通信高度化設備(9/10)</t>
  </si>
  <si>
    <t>　　　　旧第33項</t>
  </si>
  <si>
    <t>再生可能エネルギー発電設備</t>
  </si>
  <si>
    <t>　　　　旧第37項</t>
  </si>
  <si>
    <t>次世代通信網構築設備（4/5)</t>
  </si>
  <si>
    <t>　　　　旧第41項</t>
  </si>
  <si>
    <t>　　　　旧第43項</t>
  </si>
  <si>
    <t>経営力向上設備等</t>
  </si>
  <si>
    <t>「概要調書・第73～75表」による。</t>
  </si>
  <si>
    <t>８　国有資産等所在市交付金累年比較</t>
  </si>
  <si>
    <t>固定資産の価格</t>
  </si>
  <si>
    <t>算定標準額</t>
  </si>
  <si>
    <t>交付金額</t>
  </si>
  <si>
    <t>価格</t>
  </si>
  <si>
    <t>国有資産分</t>
  </si>
  <si>
    <t>国有資産分</t>
  </si>
  <si>
    <t>平成24年度</t>
  </si>
  <si>
    <t>県有資産分</t>
  </si>
  <si>
    <t>９　都市計画税の概要（区域・面積等）累年比較（当初）</t>
  </si>
  <si>
    <t>(1)区域の面積</t>
  </si>
  <si>
    <t>（単位:千平方メートル・％）</t>
  </si>
  <si>
    <t>市街化区域</t>
  </si>
  <si>
    <t>市街化
調整区域</t>
  </si>
  <si>
    <t>市街化</t>
  </si>
  <si>
    <t>区域</t>
  </si>
  <si>
    <t>調整区域</t>
  </si>
  <si>
    <t>「概要調書」による。</t>
  </si>
  <si>
    <t>(2)課税区域の面積</t>
  </si>
  <si>
    <t>市街化調整区域</t>
  </si>
  <si>
    <t>　</t>
  </si>
  <si>
    <t>(3)課税標準額（免税点以上のもの）</t>
  </si>
  <si>
    <t>（単位:千円・％）</t>
  </si>
  <si>
    <t>土地</t>
  </si>
  <si>
    <t>家屋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</si>
</sst>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.0_ "/>
    <numFmt numFmtId="184" formatCode="#,##0_);[Red]\(#,##0\)"/>
    <numFmt numFmtId="185" formatCode="#,##0.0_);[Red]\(#,##0.0\)"/>
    <numFmt numFmtId="186" formatCode="0.0_);[Red]\(0.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8.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6">
    <xf numFmtId="0" fontId="0" fillId="0" borderId="0" xfId="0" applyAlignment="1">
      <alignment vertical="center"/>
    </xf>
    <xf numFmtId="0" fontId="0" fillId="0" borderId="0" xfId="67" applyAlignment="1">
      <alignment vertical="center"/>
      <protection/>
    </xf>
    <xf numFmtId="0" fontId="0" fillId="0" borderId="0" xfId="67" applyFont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44" fillId="0" borderId="0" xfId="67" applyFont="1" applyAlignment="1">
      <alignment vertical="center"/>
      <protection/>
    </xf>
    <xf numFmtId="0" fontId="45" fillId="0" borderId="0" xfId="67" applyFont="1" applyAlignment="1">
      <alignment vertical="center"/>
      <protection/>
    </xf>
    <xf numFmtId="0" fontId="46" fillId="0" borderId="0" xfId="67" applyFont="1" applyAlignment="1">
      <alignment vertical="center"/>
      <protection/>
    </xf>
    <xf numFmtId="0" fontId="45" fillId="0" borderId="0" xfId="67" applyFont="1" applyAlignment="1">
      <alignment horizontal="right" vertical="center"/>
      <protection/>
    </xf>
    <xf numFmtId="0" fontId="45" fillId="0" borderId="0" xfId="67" applyFont="1" applyFill="1" applyAlignment="1">
      <alignment horizontal="right" vertical="center"/>
      <protection/>
    </xf>
    <xf numFmtId="0" fontId="45" fillId="0" borderId="10" xfId="67" applyFont="1" applyBorder="1" applyAlignment="1">
      <alignment horizontal="center" vertical="center"/>
      <protection/>
    </xf>
    <xf numFmtId="0" fontId="45" fillId="0" borderId="11" xfId="67" applyFont="1" applyBorder="1" applyAlignment="1">
      <alignment horizontal="center" vertical="center"/>
      <protection/>
    </xf>
    <xf numFmtId="0" fontId="45" fillId="0" borderId="11" xfId="67" applyFont="1" applyFill="1" applyBorder="1" applyAlignment="1">
      <alignment horizontal="center" vertical="center"/>
      <protection/>
    </xf>
    <xf numFmtId="0" fontId="45" fillId="0" borderId="10" xfId="67" applyFont="1" applyFill="1" applyBorder="1" applyAlignment="1">
      <alignment horizontal="center" vertical="center"/>
      <protection/>
    </xf>
    <xf numFmtId="0" fontId="45" fillId="0" borderId="12" xfId="67" applyFont="1" applyFill="1" applyBorder="1" applyAlignment="1">
      <alignment horizontal="center" vertical="center"/>
      <protection/>
    </xf>
    <xf numFmtId="0" fontId="45" fillId="0" borderId="13" xfId="67" applyFont="1" applyBorder="1" applyAlignment="1">
      <alignment horizontal="center" vertical="center"/>
      <protection/>
    </xf>
    <xf numFmtId="0" fontId="45" fillId="0" borderId="14" xfId="67" applyFont="1" applyBorder="1" applyAlignment="1">
      <alignment horizontal="center" vertical="center"/>
      <protection/>
    </xf>
    <xf numFmtId="176" fontId="45" fillId="0" borderId="14" xfId="67" applyNumberFormat="1" applyFont="1" applyBorder="1" applyAlignment="1">
      <alignment vertical="center"/>
      <protection/>
    </xf>
    <xf numFmtId="176" fontId="45" fillId="0" borderId="15" xfId="67" applyNumberFormat="1" applyFont="1" applyBorder="1" applyAlignment="1">
      <alignment vertical="center"/>
      <protection/>
    </xf>
    <xf numFmtId="176" fontId="45" fillId="0" borderId="15" xfId="67" applyNumberFormat="1" applyFont="1" applyFill="1" applyBorder="1" applyAlignment="1">
      <alignment vertical="center"/>
      <protection/>
    </xf>
    <xf numFmtId="176" fontId="45" fillId="0" borderId="16" xfId="67" applyNumberFormat="1" applyFont="1" applyFill="1" applyBorder="1" applyAlignment="1">
      <alignment vertical="center"/>
      <protection/>
    </xf>
    <xf numFmtId="176" fontId="45" fillId="0" borderId="14" xfId="67" applyNumberFormat="1" applyFont="1" applyFill="1" applyBorder="1" applyAlignment="1">
      <alignment vertical="center"/>
      <protection/>
    </xf>
    <xf numFmtId="176" fontId="45" fillId="0" borderId="16" xfId="67" applyNumberFormat="1" applyFont="1" applyBorder="1" applyAlignment="1">
      <alignment vertical="center"/>
      <protection/>
    </xf>
    <xf numFmtId="176" fontId="45" fillId="0" borderId="17" xfId="67" applyNumberFormat="1" applyFont="1" applyFill="1" applyBorder="1" applyAlignment="1">
      <alignment vertical="center"/>
      <protection/>
    </xf>
    <xf numFmtId="0" fontId="45" fillId="0" borderId="18" xfId="67" applyFont="1" applyBorder="1" applyAlignment="1">
      <alignment horizontal="center" vertical="center"/>
      <protection/>
    </xf>
    <xf numFmtId="0" fontId="45" fillId="0" borderId="19" xfId="67" applyFont="1" applyBorder="1" applyAlignment="1">
      <alignment horizontal="center" vertical="center"/>
      <protection/>
    </xf>
    <xf numFmtId="176" fontId="45" fillId="0" borderId="19" xfId="67" applyNumberFormat="1" applyFont="1" applyBorder="1" applyAlignment="1">
      <alignment vertical="center"/>
      <protection/>
    </xf>
    <xf numFmtId="176" fontId="45" fillId="0" borderId="20" xfId="67" applyNumberFormat="1" applyFont="1" applyBorder="1" applyAlignment="1">
      <alignment vertical="center"/>
      <protection/>
    </xf>
    <xf numFmtId="176" fontId="45" fillId="0" borderId="20" xfId="67" applyNumberFormat="1" applyFont="1" applyFill="1" applyBorder="1" applyAlignment="1">
      <alignment vertical="center"/>
      <protection/>
    </xf>
    <xf numFmtId="176" fontId="45" fillId="0" borderId="19" xfId="67" applyNumberFormat="1" applyFont="1" applyFill="1" applyBorder="1" applyAlignment="1">
      <alignment vertical="center"/>
      <protection/>
    </xf>
    <xf numFmtId="0" fontId="45" fillId="0" borderId="21" xfId="67" applyFont="1" applyBorder="1" applyAlignment="1">
      <alignment horizontal="center" vertical="center"/>
      <protection/>
    </xf>
    <xf numFmtId="176" fontId="45" fillId="0" borderId="21" xfId="67" applyNumberFormat="1" applyFont="1" applyBorder="1" applyAlignment="1">
      <alignment vertical="center"/>
      <protection/>
    </xf>
    <xf numFmtId="176" fontId="45" fillId="0" borderId="22" xfId="67" applyNumberFormat="1" applyFont="1" applyBorder="1" applyAlignment="1">
      <alignment vertical="center"/>
      <protection/>
    </xf>
    <xf numFmtId="176" fontId="45" fillId="0" borderId="22" xfId="67" applyNumberFormat="1" applyFont="1" applyFill="1" applyBorder="1" applyAlignment="1">
      <alignment vertical="center"/>
      <protection/>
    </xf>
    <xf numFmtId="176" fontId="45" fillId="0" borderId="21" xfId="67" applyNumberFormat="1" applyFont="1" applyFill="1" applyBorder="1" applyAlignment="1">
      <alignment vertical="center"/>
      <protection/>
    </xf>
    <xf numFmtId="176" fontId="45" fillId="0" borderId="23" xfId="67" applyNumberFormat="1" applyFont="1" applyBorder="1" applyAlignment="1">
      <alignment vertical="center"/>
      <protection/>
    </xf>
    <xf numFmtId="0" fontId="45" fillId="0" borderId="24" xfId="67" applyFont="1" applyBorder="1" applyAlignment="1">
      <alignment horizontal="center" vertical="center"/>
      <protection/>
    </xf>
    <xf numFmtId="0" fontId="45" fillId="0" borderId="25" xfId="67" applyFont="1" applyBorder="1" applyAlignment="1">
      <alignment horizontal="center" vertical="center"/>
      <protection/>
    </xf>
    <xf numFmtId="177" fontId="45" fillId="0" borderId="25" xfId="67" applyNumberFormat="1" applyFont="1" applyBorder="1" applyAlignment="1">
      <alignment vertical="center"/>
      <protection/>
    </xf>
    <xf numFmtId="177" fontId="45" fillId="0" borderId="26" xfId="67" applyNumberFormat="1" applyFont="1" applyBorder="1" applyAlignment="1">
      <alignment vertical="center"/>
      <protection/>
    </xf>
    <xf numFmtId="177" fontId="45" fillId="0" borderId="26" xfId="67" applyNumberFormat="1" applyFont="1" applyFill="1" applyBorder="1" applyAlignment="1">
      <alignment vertical="center"/>
      <protection/>
    </xf>
    <xf numFmtId="177" fontId="45" fillId="0" borderId="25" xfId="67" applyNumberFormat="1" applyFont="1" applyFill="1" applyBorder="1" applyAlignment="1">
      <alignment vertical="center"/>
      <protection/>
    </xf>
    <xf numFmtId="183" fontId="45" fillId="0" borderId="25" xfId="67" applyNumberFormat="1" applyFont="1" applyBorder="1" applyAlignment="1">
      <alignment vertical="center"/>
      <protection/>
    </xf>
    <xf numFmtId="183" fontId="45" fillId="0" borderId="27" xfId="67" applyNumberFormat="1" applyFont="1" applyBorder="1" applyAlignment="1">
      <alignment vertical="center"/>
      <protection/>
    </xf>
    <xf numFmtId="0" fontId="45" fillId="0" borderId="28" xfId="67" applyFont="1" applyBorder="1" applyAlignment="1">
      <alignment horizontal="center" vertical="center"/>
      <protection/>
    </xf>
    <xf numFmtId="0" fontId="45" fillId="0" borderId="16" xfId="67" applyFont="1" applyBorder="1" applyAlignment="1">
      <alignment horizontal="center" vertical="center"/>
      <protection/>
    </xf>
    <xf numFmtId="176" fontId="45" fillId="0" borderId="29" xfId="67" applyNumberFormat="1" applyFont="1" applyBorder="1" applyAlignment="1">
      <alignment vertical="center"/>
      <protection/>
    </xf>
    <xf numFmtId="176" fontId="45" fillId="0" borderId="29" xfId="67" applyNumberFormat="1" applyFont="1" applyFill="1" applyBorder="1" applyAlignment="1">
      <alignment vertical="center"/>
      <protection/>
    </xf>
    <xf numFmtId="176" fontId="45" fillId="0" borderId="0" xfId="67" applyNumberFormat="1" applyFont="1" applyBorder="1" applyAlignment="1">
      <alignment vertical="center"/>
      <protection/>
    </xf>
    <xf numFmtId="0" fontId="45" fillId="0" borderId="15" xfId="67" applyFont="1" applyBorder="1" applyAlignment="1">
      <alignment horizontal="center" vertical="center"/>
      <protection/>
    </xf>
    <xf numFmtId="0" fontId="45" fillId="0" borderId="20" xfId="67" applyFont="1" applyBorder="1" applyAlignment="1">
      <alignment horizontal="center" vertical="center"/>
      <protection/>
    </xf>
    <xf numFmtId="0" fontId="45" fillId="0" borderId="18" xfId="67" applyFont="1" applyBorder="1" applyAlignment="1">
      <alignment vertical="center"/>
      <protection/>
    </xf>
    <xf numFmtId="0" fontId="45" fillId="0" borderId="22" xfId="67" applyFont="1" applyBorder="1" applyAlignment="1">
      <alignment horizontal="center" vertical="center"/>
      <protection/>
    </xf>
    <xf numFmtId="176" fontId="45" fillId="0" borderId="30" xfId="67" applyNumberFormat="1" applyFont="1" applyBorder="1" applyAlignment="1">
      <alignment vertical="center"/>
      <protection/>
    </xf>
    <xf numFmtId="0" fontId="45" fillId="0" borderId="31" xfId="67" applyFont="1" applyBorder="1" applyAlignment="1">
      <alignment vertical="center"/>
      <protection/>
    </xf>
    <xf numFmtId="0" fontId="45" fillId="0" borderId="32" xfId="67" applyFont="1" applyBorder="1" applyAlignment="1">
      <alignment horizontal="center" vertical="center"/>
      <protection/>
    </xf>
    <xf numFmtId="177" fontId="45" fillId="0" borderId="33" xfId="67" applyNumberFormat="1" applyFont="1" applyBorder="1" applyAlignment="1">
      <alignment vertical="center"/>
      <protection/>
    </xf>
    <xf numFmtId="177" fontId="45" fillId="0" borderId="32" xfId="67" applyNumberFormat="1" applyFont="1" applyBorder="1" applyAlignment="1">
      <alignment vertical="center"/>
      <protection/>
    </xf>
    <xf numFmtId="177" fontId="45" fillId="0" borderId="32" xfId="67" applyNumberFormat="1" applyFont="1" applyFill="1" applyBorder="1" applyAlignment="1">
      <alignment vertical="center"/>
      <protection/>
    </xf>
    <xf numFmtId="177" fontId="45" fillId="0" borderId="33" xfId="67" applyNumberFormat="1" applyFont="1" applyFill="1" applyBorder="1" applyAlignment="1">
      <alignment vertical="center"/>
      <protection/>
    </xf>
    <xf numFmtId="177" fontId="45" fillId="0" borderId="34" xfId="67" applyNumberFormat="1" applyFont="1" applyFill="1" applyBorder="1" applyAlignment="1">
      <alignment vertical="center"/>
      <protection/>
    </xf>
    <xf numFmtId="183" fontId="45" fillId="0" borderId="35" xfId="67" applyNumberFormat="1" applyFont="1" applyBorder="1" applyAlignment="1">
      <alignment vertical="center"/>
      <protection/>
    </xf>
    <xf numFmtId="183" fontId="45" fillId="0" borderId="36" xfId="67" applyNumberFormat="1" applyFont="1" applyBorder="1" applyAlignment="1">
      <alignment vertical="center"/>
      <protection/>
    </xf>
    <xf numFmtId="183" fontId="45" fillId="0" borderId="37" xfId="67" applyNumberFormat="1" applyFont="1" applyBorder="1" applyAlignment="1">
      <alignment vertical="center"/>
      <protection/>
    </xf>
    <xf numFmtId="0" fontId="45" fillId="0" borderId="0" xfId="67" applyFont="1" applyFill="1" applyAlignment="1">
      <alignment vertical="center"/>
      <protection/>
    </xf>
    <xf numFmtId="0" fontId="45" fillId="0" borderId="38" xfId="67" applyFont="1" applyFill="1" applyBorder="1" applyAlignment="1">
      <alignment vertical="center"/>
      <protection/>
    </xf>
    <xf numFmtId="0" fontId="45" fillId="0" borderId="0" xfId="67" applyFont="1" applyFill="1" applyBorder="1" applyAlignment="1">
      <alignment vertical="center"/>
      <protection/>
    </xf>
    <xf numFmtId="0" fontId="45" fillId="0" borderId="35" xfId="67" applyFont="1" applyFill="1" applyBorder="1" applyAlignment="1">
      <alignment horizontal="right" vertical="center"/>
      <protection/>
    </xf>
    <xf numFmtId="0" fontId="45" fillId="0" borderId="39" xfId="67" applyFont="1" applyBorder="1" applyAlignment="1">
      <alignment horizontal="center" vertical="center"/>
      <protection/>
    </xf>
    <xf numFmtId="176" fontId="45" fillId="0" borderId="40" xfId="67" applyNumberFormat="1" applyFont="1" applyBorder="1" applyAlignment="1">
      <alignment vertical="center"/>
      <protection/>
    </xf>
    <xf numFmtId="176" fontId="45" fillId="0" borderId="39" xfId="67" applyNumberFormat="1" applyFont="1" applyBorder="1" applyAlignment="1">
      <alignment vertical="center"/>
      <protection/>
    </xf>
    <xf numFmtId="176" fontId="45" fillId="0" borderId="39" xfId="67" applyNumberFormat="1" applyFont="1" applyFill="1" applyBorder="1" applyAlignment="1">
      <alignment vertical="center"/>
      <protection/>
    </xf>
    <xf numFmtId="176" fontId="45" fillId="0" borderId="40" xfId="67" applyNumberFormat="1" applyFont="1" applyFill="1" applyBorder="1" applyAlignment="1">
      <alignment vertical="center"/>
      <protection/>
    </xf>
    <xf numFmtId="176" fontId="45" fillId="0" borderId="41" xfId="67" applyNumberFormat="1" applyFont="1" applyBorder="1" applyAlignment="1">
      <alignment vertical="center"/>
      <protection/>
    </xf>
    <xf numFmtId="176" fontId="45" fillId="0" borderId="42" xfId="67" applyNumberFormat="1" applyFont="1" applyFill="1" applyBorder="1" applyAlignment="1">
      <alignment vertical="center"/>
      <protection/>
    </xf>
    <xf numFmtId="0" fontId="45" fillId="0" borderId="34" xfId="67" applyFont="1" applyBorder="1" applyAlignment="1">
      <alignment horizontal="center" vertical="center"/>
      <protection/>
    </xf>
    <xf numFmtId="176" fontId="45" fillId="0" borderId="36" xfId="67" applyNumberFormat="1" applyFont="1" applyBorder="1" applyAlignment="1">
      <alignment vertical="center"/>
      <protection/>
    </xf>
    <xf numFmtId="176" fontId="45" fillId="0" borderId="34" xfId="67" applyNumberFormat="1" applyFont="1" applyBorder="1" applyAlignment="1">
      <alignment vertical="center"/>
      <protection/>
    </xf>
    <xf numFmtId="176" fontId="45" fillId="0" borderId="34" xfId="67" applyNumberFormat="1" applyFont="1" applyFill="1" applyBorder="1" applyAlignment="1">
      <alignment vertical="center"/>
      <protection/>
    </xf>
    <xf numFmtId="176" fontId="45" fillId="0" borderId="36" xfId="67" applyNumberFormat="1" applyFont="1" applyFill="1" applyBorder="1" applyAlignment="1">
      <alignment vertical="center"/>
      <protection/>
    </xf>
    <xf numFmtId="176" fontId="45" fillId="0" borderId="35" xfId="67" applyNumberFormat="1" applyFont="1" applyBorder="1" applyAlignment="1">
      <alignment vertical="center"/>
      <protection/>
    </xf>
    <xf numFmtId="176" fontId="45" fillId="0" borderId="37" xfId="67" applyNumberFormat="1" applyFont="1" applyFill="1" applyBorder="1" applyAlignment="1">
      <alignment vertical="center"/>
      <protection/>
    </xf>
    <xf numFmtId="0" fontId="44" fillId="0" borderId="0" xfId="67" applyFont="1">
      <alignment/>
      <protection/>
    </xf>
    <xf numFmtId="0" fontId="45" fillId="0" borderId="0" xfId="61" applyFont="1">
      <alignment/>
      <protection/>
    </xf>
    <xf numFmtId="0" fontId="0" fillId="0" borderId="0" xfId="61">
      <alignment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0" fontId="45" fillId="0" borderId="0" xfId="61" applyFont="1" applyAlignment="1">
      <alignment horizontal="right"/>
      <protection/>
    </xf>
    <xf numFmtId="0" fontId="45" fillId="0" borderId="43" xfId="67" applyFont="1" applyBorder="1" applyAlignment="1">
      <alignment horizontal="center" vertical="center"/>
      <protection/>
    </xf>
    <xf numFmtId="0" fontId="45" fillId="0" borderId="44" xfId="67" applyFont="1" applyBorder="1" applyAlignment="1">
      <alignment horizontal="center" vertical="center"/>
      <protection/>
    </xf>
    <xf numFmtId="0" fontId="45" fillId="0" borderId="45" xfId="67" applyFont="1" applyBorder="1" applyAlignment="1">
      <alignment horizontal="center" vertical="center"/>
      <protection/>
    </xf>
    <xf numFmtId="0" fontId="45" fillId="0" borderId="46" xfId="67" applyFont="1" applyBorder="1" applyAlignment="1">
      <alignment horizontal="center" vertical="center"/>
      <protection/>
    </xf>
    <xf numFmtId="0" fontId="45" fillId="0" borderId="46" xfId="61" applyFont="1" applyBorder="1" applyAlignment="1">
      <alignment horizontal="center" vertical="center"/>
      <protection/>
    </xf>
    <xf numFmtId="0" fontId="45" fillId="0" borderId="47" xfId="61" applyFont="1" applyBorder="1" applyAlignment="1">
      <alignment horizontal="center" vertical="center"/>
      <protection/>
    </xf>
    <xf numFmtId="0" fontId="45" fillId="0" borderId="48" xfId="61" applyFont="1" applyBorder="1">
      <alignment/>
      <protection/>
    </xf>
    <xf numFmtId="0" fontId="45" fillId="0" borderId="49" xfId="61" applyFont="1" applyBorder="1">
      <alignment/>
      <protection/>
    </xf>
    <xf numFmtId="0" fontId="45" fillId="0" borderId="14" xfId="61" applyFont="1" applyBorder="1">
      <alignment/>
      <protection/>
    </xf>
    <xf numFmtId="0" fontId="45" fillId="0" borderId="17" xfId="61" applyFont="1" applyBorder="1">
      <alignment/>
      <protection/>
    </xf>
    <xf numFmtId="0" fontId="45" fillId="0" borderId="18" xfId="61" applyFont="1" applyBorder="1" applyAlignment="1">
      <alignment vertical="center"/>
      <protection/>
    </xf>
    <xf numFmtId="0" fontId="45" fillId="0" borderId="50" xfId="61" applyFont="1" applyBorder="1" applyAlignment="1">
      <alignment vertical="center"/>
      <protection/>
    </xf>
    <xf numFmtId="176" fontId="45" fillId="0" borderId="15" xfId="61" applyNumberFormat="1" applyFont="1" applyBorder="1" applyAlignment="1">
      <alignment vertical="center"/>
      <protection/>
    </xf>
    <xf numFmtId="176" fontId="45" fillId="0" borderId="0" xfId="61" applyNumberFormat="1" applyFont="1" applyAlignment="1">
      <alignment vertical="center"/>
      <protection/>
    </xf>
    <xf numFmtId="176" fontId="45" fillId="0" borderId="14" xfId="61" applyNumberFormat="1" applyFont="1" applyBorder="1" applyAlignment="1">
      <alignment vertical="center"/>
      <protection/>
    </xf>
    <xf numFmtId="176" fontId="45" fillId="0" borderId="17" xfId="61" applyNumberFormat="1" applyFont="1" applyBorder="1" applyAlignment="1">
      <alignment vertical="center"/>
      <protection/>
    </xf>
    <xf numFmtId="176" fontId="45" fillId="0" borderId="19" xfId="61" applyNumberFormat="1" applyFont="1" applyBorder="1" applyAlignment="1">
      <alignment vertical="center"/>
      <protection/>
    </xf>
    <xf numFmtId="176" fontId="45" fillId="0" borderId="51" xfId="61" applyNumberFormat="1" applyFont="1" applyBorder="1" applyAlignment="1">
      <alignment vertical="center"/>
      <protection/>
    </xf>
    <xf numFmtId="0" fontId="45" fillId="0" borderId="52" xfId="61" applyFont="1" applyBorder="1" applyAlignment="1">
      <alignment vertical="center"/>
      <protection/>
    </xf>
    <xf numFmtId="0" fontId="45" fillId="0" borderId="53" xfId="61" applyFont="1" applyBorder="1" applyAlignment="1">
      <alignment horizontal="center" vertical="center"/>
      <protection/>
    </xf>
    <xf numFmtId="176" fontId="45" fillId="0" borderId="22" xfId="61" applyNumberFormat="1" applyFont="1" applyBorder="1" applyAlignment="1">
      <alignment vertical="center"/>
      <protection/>
    </xf>
    <xf numFmtId="176" fontId="45" fillId="0" borderId="30" xfId="61" applyNumberFormat="1" applyFont="1" applyBorder="1" applyAlignment="1">
      <alignment vertical="center"/>
      <protection/>
    </xf>
    <xf numFmtId="176" fontId="45" fillId="0" borderId="21" xfId="61" applyNumberFormat="1" applyFont="1" applyBorder="1" applyAlignment="1">
      <alignment vertical="center"/>
      <protection/>
    </xf>
    <xf numFmtId="176" fontId="45" fillId="0" borderId="23" xfId="61" applyNumberFormat="1" applyFont="1" applyBorder="1" applyAlignment="1">
      <alignment vertical="center"/>
      <protection/>
    </xf>
    <xf numFmtId="176" fontId="45" fillId="0" borderId="54" xfId="61" applyNumberFormat="1" applyFont="1" applyBorder="1" applyAlignment="1">
      <alignment vertical="center"/>
      <protection/>
    </xf>
    <xf numFmtId="183" fontId="45" fillId="0" borderId="34" xfId="61" applyNumberFormat="1" applyFont="1" applyBorder="1" applyAlignment="1">
      <alignment vertical="center"/>
      <protection/>
    </xf>
    <xf numFmtId="183" fontId="45" fillId="0" borderId="35" xfId="61" applyNumberFormat="1" applyFont="1" applyBorder="1" applyAlignment="1">
      <alignment vertical="center"/>
      <protection/>
    </xf>
    <xf numFmtId="183" fontId="45" fillId="0" borderId="36" xfId="61" applyNumberFormat="1" applyFont="1" applyBorder="1" applyAlignment="1">
      <alignment vertical="center"/>
      <protection/>
    </xf>
    <xf numFmtId="183" fontId="45" fillId="0" borderId="37" xfId="61" applyNumberFormat="1" applyFont="1" applyBorder="1" applyAlignment="1">
      <alignment vertical="center"/>
      <protection/>
    </xf>
    <xf numFmtId="184" fontId="45" fillId="0" borderId="48" xfId="61" applyNumberFormat="1" applyFont="1" applyBorder="1" applyAlignment="1">
      <alignment vertical="center"/>
      <protection/>
    </xf>
    <xf numFmtId="184" fontId="45" fillId="0" borderId="49" xfId="61" applyNumberFormat="1" applyFont="1" applyBorder="1" applyAlignment="1">
      <alignment vertical="center"/>
      <protection/>
    </xf>
    <xf numFmtId="184" fontId="45" fillId="0" borderId="20" xfId="61" applyNumberFormat="1" applyFont="1" applyBorder="1" applyAlignment="1">
      <alignment vertical="center"/>
      <protection/>
    </xf>
    <xf numFmtId="184" fontId="45" fillId="0" borderId="54" xfId="61" applyNumberFormat="1" applyFont="1" applyBorder="1" applyAlignment="1">
      <alignment vertical="center"/>
      <protection/>
    </xf>
    <xf numFmtId="184" fontId="45" fillId="0" borderId="21" xfId="61" applyNumberFormat="1" applyFont="1" applyBorder="1" applyAlignment="1">
      <alignment vertical="center"/>
      <protection/>
    </xf>
    <xf numFmtId="184" fontId="45" fillId="0" borderId="22" xfId="61" applyNumberFormat="1" applyFont="1" applyBorder="1" applyAlignment="1">
      <alignment vertical="center"/>
      <protection/>
    </xf>
    <xf numFmtId="184" fontId="45" fillId="0" borderId="30" xfId="61" applyNumberFormat="1" applyFont="1" applyBorder="1" applyAlignment="1">
      <alignment vertical="center"/>
      <protection/>
    </xf>
    <xf numFmtId="185" fontId="45" fillId="0" borderId="33" xfId="61" applyNumberFormat="1" applyFont="1" applyBorder="1" applyAlignment="1">
      <alignment vertical="center"/>
      <protection/>
    </xf>
    <xf numFmtId="185" fontId="45" fillId="0" borderId="32" xfId="61" applyNumberFormat="1" applyFont="1" applyBorder="1" applyAlignment="1">
      <alignment vertical="center"/>
      <protection/>
    </xf>
    <xf numFmtId="185" fontId="45" fillId="0" borderId="55" xfId="61" applyNumberFormat="1" applyFont="1" applyBorder="1" applyAlignment="1">
      <alignment vertical="center"/>
      <protection/>
    </xf>
    <xf numFmtId="185" fontId="45" fillId="0" borderId="34" xfId="61" applyNumberFormat="1" applyFont="1" applyBorder="1" applyAlignment="1">
      <alignment vertical="center"/>
      <protection/>
    </xf>
    <xf numFmtId="0" fontId="44" fillId="0" borderId="0" xfId="62" applyFont="1">
      <alignment/>
      <protection/>
    </xf>
    <xf numFmtId="0" fontId="45" fillId="0" borderId="0" xfId="62" applyFont="1">
      <alignment/>
      <protection/>
    </xf>
    <xf numFmtId="0" fontId="0" fillId="0" borderId="0" xfId="62">
      <alignment/>
      <protection/>
    </xf>
    <xf numFmtId="0" fontId="45" fillId="0" borderId="0" xfId="62" applyFont="1" applyAlignment="1">
      <alignment horizontal="right"/>
      <protection/>
    </xf>
    <xf numFmtId="0" fontId="45" fillId="0" borderId="56" xfId="62" applyFont="1" applyBorder="1" applyAlignment="1">
      <alignment horizontal="center" vertical="center"/>
      <protection/>
    </xf>
    <xf numFmtId="0" fontId="45" fillId="0" borderId="48" xfId="62" applyFont="1" applyBorder="1" applyAlignment="1">
      <alignment horizontal="center" vertical="center"/>
      <protection/>
    </xf>
    <xf numFmtId="0" fontId="45" fillId="0" borderId="57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top"/>
      <protection/>
    </xf>
    <xf numFmtId="0" fontId="45" fillId="0" borderId="51" xfId="62" applyFont="1" applyBorder="1" applyAlignment="1">
      <alignment horizontal="center" vertical="top"/>
      <protection/>
    </xf>
    <xf numFmtId="176" fontId="45" fillId="0" borderId="58" xfId="62" applyNumberFormat="1" applyFont="1" applyBorder="1" applyAlignment="1">
      <alignment vertical="center"/>
      <protection/>
    </xf>
    <xf numFmtId="176" fontId="45" fillId="0" borderId="48" xfId="62" applyNumberFormat="1" applyFont="1" applyBorder="1" applyAlignment="1">
      <alignment vertical="center"/>
      <protection/>
    </xf>
    <xf numFmtId="183" fontId="45" fillId="0" borderId="48" xfId="62" applyNumberFormat="1" applyFont="1" applyBorder="1" applyAlignment="1">
      <alignment vertical="center"/>
      <protection/>
    </xf>
    <xf numFmtId="183" fontId="45" fillId="0" borderId="57" xfId="62" applyNumberFormat="1" applyFont="1" applyBorder="1" applyAlignment="1">
      <alignment vertical="center"/>
      <protection/>
    </xf>
    <xf numFmtId="0" fontId="45" fillId="0" borderId="15" xfId="62" applyFont="1" applyBorder="1" applyAlignment="1">
      <alignment horizontal="center" vertical="center"/>
      <protection/>
    </xf>
    <xf numFmtId="176" fontId="45" fillId="0" borderId="50" xfId="62" applyNumberFormat="1" applyFont="1" applyBorder="1" applyAlignment="1">
      <alignment vertical="center"/>
      <protection/>
    </xf>
    <xf numFmtId="176" fontId="45" fillId="0" borderId="15" xfId="62" applyNumberFormat="1" applyFont="1" applyBorder="1" applyAlignment="1">
      <alignment vertical="center"/>
      <protection/>
    </xf>
    <xf numFmtId="183" fontId="45" fillId="0" borderId="15" xfId="62" applyNumberFormat="1" applyFont="1" applyBorder="1" applyAlignment="1">
      <alignment vertical="center"/>
      <protection/>
    </xf>
    <xf numFmtId="183" fontId="45" fillId="0" borderId="17" xfId="62" applyNumberFormat="1" applyFont="1" applyBorder="1" applyAlignment="1">
      <alignment vertical="center"/>
      <protection/>
    </xf>
    <xf numFmtId="0" fontId="45" fillId="0" borderId="22" xfId="62" applyFont="1" applyBorder="1" applyAlignment="1">
      <alignment horizontal="center" vertical="center"/>
      <protection/>
    </xf>
    <xf numFmtId="176" fontId="45" fillId="0" borderId="53" xfId="62" applyNumberFormat="1" applyFont="1" applyBorder="1" applyAlignment="1">
      <alignment vertical="center"/>
      <protection/>
    </xf>
    <xf numFmtId="176" fontId="45" fillId="0" borderId="22" xfId="62" applyNumberFormat="1" applyFont="1" applyBorder="1" applyAlignment="1">
      <alignment vertical="center"/>
      <protection/>
    </xf>
    <xf numFmtId="183" fontId="45" fillId="0" borderId="22" xfId="62" applyNumberFormat="1" applyFont="1" applyBorder="1" applyAlignment="1">
      <alignment vertical="center"/>
      <protection/>
    </xf>
    <xf numFmtId="183" fontId="45" fillId="0" borderId="23" xfId="62" applyNumberFormat="1" applyFont="1" applyBorder="1" applyAlignment="1">
      <alignment vertical="center"/>
      <protection/>
    </xf>
    <xf numFmtId="177" fontId="45" fillId="0" borderId="15" xfId="62" applyNumberFormat="1" applyFont="1" applyBorder="1" applyAlignment="1">
      <alignment vertical="center"/>
      <protection/>
    </xf>
    <xf numFmtId="177" fontId="45" fillId="0" borderId="17" xfId="62" applyNumberFormat="1" applyFont="1" applyBorder="1" applyAlignment="1">
      <alignment vertical="center"/>
      <protection/>
    </xf>
    <xf numFmtId="177" fontId="45" fillId="0" borderId="48" xfId="62" applyNumberFormat="1" applyFont="1" applyBorder="1" applyAlignment="1">
      <alignment vertical="center"/>
      <protection/>
    </xf>
    <xf numFmtId="177" fontId="45" fillId="0" borderId="57" xfId="62" applyNumberFormat="1" applyFont="1" applyBorder="1" applyAlignment="1">
      <alignment vertical="center"/>
      <protection/>
    </xf>
    <xf numFmtId="177" fontId="45" fillId="0" borderId="22" xfId="62" applyNumberFormat="1" applyFont="1" applyBorder="1" applyAlignment="1">
      <alignment vertical="center"/>
      <protection/>
    </xf>
    <xf numFmtId="177" fontId="45" fillId="0" borderId="23" xfId="62" applyNumberFormat="1" applyFont="1" applyBorder="1" applyAlignment="1">
      <alignment vertical="center"/>
      <protection/>
    </xf>
    <xf numFmtId="176" fontId="45" fillId="0" borderId="49" xfId="62" applyNumberFormat="1" applyFont="1" applyBorder="1" applyAlignment="1">
      <alignment vertical="center"/>
      <protection/>
    </xf>
    <xf numFmtId="176" fontId="45" fillId="0" borderId="30" xfId="62" applyNumberFormat="1" applyFont="1" applyBorder="1" applyAlignment="1">
      <alignment vertical="center"/>
      <protection/>
    </xf>
    <xf numFmtId="186" fontId="45" fillId="0" borderId="48" xfId="62" applyNumberFormat="1" applyFont="1" applyBorder="1" applyAlignment="1">
      <alignment vertical="center"/>
      <protection/>
    </xf>
    <xf numFmtId="186" fontId="45" fillId="0" borderId="57" xfId="62" applyNumberFormat="1" applyFont="1" applyBorder="1" applyAlignment="1">
      <alignment vertical="center"/>
      <protection/>
    </xf>
    <xf numFmtId="0" fontId="45" fillId="0" borderId="18" xfId="62" applyFont="1" applyBorder="1" applyAlignment="1">
      <alignment horizontal="center" vertical="center"/>
      <protection/>
    </xf>
    <xf numFmtId="186" fontId="45" fillId="0" borderId="15" xfId="62" applyNumberFormat="1" applyFont="1" applyBorder="1" applyAlignment="1">
      <alignment vertical="center"/>
      <protection/>
    </xf>
    <xf numFmtId="186" fontId="45" fillId="0" borderId="17" xfId="62" applyNumberFormat="1" applyFont="1" applyBorder="1" applyAlignment="1">
      <alignment vertical="center"/>
      <protection/>
    </xf>
    <xf numFmtId="0" fontId="45" fillId="0" borderId="59" xfId="62" applyFont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center"/>
      <protection/>
    </xf>
    <xf numFmtId="176" fontId="45" fillId="0" borderId="60" xfId="62" applyNumberFormat="1" applyFont="1" applyBorder="1" applyAlignment="1">
      <alignment vertical="center"/>
      <protection/>
    </xf>
    <xf numFmtId="176" fontId="45" fillId="0" borderId="20" xfId="62" applyNumberFormat="1" applyFont="1" applyBorder="1" applyAlignment="1">
      <alignment vertical="center"/>
      <protection/>
    </xf>
    <xf numFmtId="183" fontId="45" fillId="0" borderId="20" xfId="62" applyNumberFormat="1" applyFont="1" applyBorder="1" applyAlignment="1">
      <alignment vertical="center"/>
      <protection/>
    </xf>
    <xf numFmtId="183" fontId="45" fillId="0" borderId="51" xfId="62" applyNumberFormat="1" applyFont="1" applyBorder="1" applyAlignment="1">
      <alignment vertical="center"/>
      <protection/>
    </xf>
    <xf numFmtId="0" fontId="45" fillId="0" borderId="13" xfId="62" applyFont="1" applyBorder="1">
      <alignment/>
      <protection/>
    </xf>
    <xf numFmtId="0" fontId="45" fillId="0" borderId="31" xfId="62" applyFont="1" applyBorder="1" applyAlignment="1">
      <alignment horizontal="center" vertical="center"/>
      <protection/>
    </xf>
    <xf numFmtId="0" fontId="45" fillId="0" borderId="32" xfId="62" applyFont="1" applyBorder="1" applyAlignment="1">
      <alignment horizontal="center" vertical="center"/>
      <protection/>
    </xf>
    <xf numFmtId="176" fontId="45" fillId="0" borderId="61" xfId="62" applyNumberFormat="1" applyFont="1" applyBorder="1" applyAlignment="1">
      <alignment vertical="center"/>
      <protection/>
    </xf>
    <xf numFmtId="176" fontId="45" fillId="0" borderId="32" xfId="62" applyNumberFormat="1" applyFont="1" applyBorder="1" applyAlignment="1">
      <alignment vertical="center"/>
      <protection/>
    </xf>
    <xf numFmtId="183" fontId="45" fillId="0" borderId="32" xfId="62" applyNumberFormat="1" applyFont="1" applyBorder="1" applyAlignment="1">
      <alignment vertical="center"/>
      <protection/>
    </xf>
    <xf numFmtId="183" fontId="45" fillId="0" borderId="62" xfId="62" applyNumberFormat="1" applyFont="1" applyBorder="1" applyAlignment="1">
      <alignment vertical="center"/>
      <protection/>
    </xf>
    <xf numFmtId="0" fontId="45" fillId="0" borderId="0" xfId="61" applyFont="1" applyAlignment="1">
      <alignment horizontal="left"/>
      <protection/>
    </xf>
    <xf numFmtId="0" fontId="45" fillId="0" borderId="56" xfId="61" applyFont="1" applyBorder="1" applyAlignment="1">
      <alignment horizontal="center" vertical="center"/>
      <protection/>
    </xf>
    <xf numFmtId="0" fontId="47" fillId="0" borderId="44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7" fillId="0" borderId="48" xfId="61" applyFont="1" applyBorder="1" applyAlignment="1">
      <alignment horizontal="center" vertical="center"/>
      <protection/>
    </xf>
    <xf numFmtId="0" fontId="47" fillId="0" borderId="57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0" fontId="47" fillId="0" borderId="51" xfId="61" applyFont="1" applyBorder="1" applyAlignment="1">
      <alignment horizontal="center" vertical="center"/>
      <protection/>
    </xf>
    <xf numFmtId="176" fontId="45" fillId="0" borderId="48" xfId="61" applyNumberFormat="1" applyFont="1" applyBorder="1" applyAlignment="1">
      <alignment vertical="center"/>
      <protection/>
    </xf>
    <xf numFmtId="177" fontId="45" fillId="0" borderId="48" xfId="61" applyNumberFormat="1" applyFont="1" applyBorder="1" applyAlignment="1">
      <alignment vertical="center"/>
      <protection/>
    </xf>
    <xf numFmtId="177" fontId="45" fillId="0" borderId="57" xfId="61" applyNumberFormat="1" applyFont="1" applyBorder="1" applyAlignment="1">
      <alignment vertical="center"/>
      <protection/>
    </xf>
    <xf numFmtId="176" fontId="45" fillId="0" borderId="20" xfId="61" applyNumberFormat="1" applyFont="1" applyBorder="1" applyAlignment="1">
      <alignment vertical="center"/>
      <protection/>
    </xf>
    <xf numFmtId="177" fontId="45" fillId="0" borderId="20" xfId="61" applyNumberFormat="1" applyFont="1" applyBorder="1" applyAlignment="1">
      <alignment vertical="center"/>
      <protection/>
    </xf>
    <xf numFmtId="177" fontId="45" fillId="0" borderId="51" xfId="61" applyNumberFormat="1" applyFont="1" applyBorder="1" applyAlignment="1">
      <alignment vertical="center"/>
      <protection/>
    </xf>
    <xf numFmtId="177" fontId="45" fillId="0" borderId="22" xfId="61" applyNumberFormat="1" applyFont="1" applyBorder="1" applyAlignment="1">
      <alignment vertical="center"/>
      <protection/>
    </xf>
    <xf numFmtId="177" fontId="45" fillId="0" borderId="23" xfId="61" applyNumberFormat="1" applyFont="1" applyBorder="1" applyAlignment="1">
      <alignment vertical="center"/>
      <protection/>
    </xf>
    <xf numFmtId="177" fontId="45" fillId="0" borderId="15" xfId="61" applyNumberFormat="1" applyFont="1" applyBorder="1" applyAlignment="1">
      <alignment vertical="center"/>
      <protection/>
    </xf>
    <xf numFmtId="177" fontId="45" fillId="0" borderId="17" xfId="61" applyNumberFormat="1" applyFont="1" applyBorder="1" applyAlignment="1">
      <alignment vertical="center"/>
      <protection/>
    </xf>
    <xf numFmtId="0" fontId="45" fillId="0" borderId="48" xfId="61" applyFont="1" applyBorder="1" applyAlignment="1">
      <alignment vertical="center"/>
      <protection/>
    </xf>
    <xf numFmtId="0" fontId="45" fillId="0" borderId="15" xfId="61" applyFont="1" applyBorder="1" applyAlignment="1">
      <alignment vertical="center"/>
      <protection/>
    </xf>
    <xf numFmtId="0" fontId="45" fillId="0" borderId="20" xfId="61" applyFont="1" applyBorder="1" applyAlignment="1">
      <alignment vertical="center"/>
      <protection/>
    </xf>
    <xf numFmtId="0" fontId="45" fillId="0" borderId="22" xfId="61" applyFont="1" applyBorder="1" applyAlignment="1">
      <alignment horizontal="center" vertical="center"/>
      <protection/>
    </xf>
    <xf numFmtId="183" fontId="45" fillId="0" borderId="22" xfId="61" applyNumberFormat="1" applyFont="1" applyBorder="1" applyAlignment="1">
      <alignment vertical="center"/>
      <protection/>
    </xf>
    <xf numFmtId="183" fontId="45" fillId="0" borderId="23" xfId="61" applyNumberFormat="1" applyFont="1" applyBorder="1" applyAlignment="1">
      <alignment vertical="center"/>
      <protection/>
    </xf>
    <xf numFmtId="0" fontId="45" fillId="0" borderId="48" xfId="61" applyFont="1" applyBorder="1" applyAlignment="1">
      <alignment horizontal="center" vertical="center"/>
      <protection/>
    </xf>
    <xf numFmtId="0" fontId="45" fillId="0" borderId="48" xfId="61" applyFont="1" applyBorder="1" applyAlignment="1">
      <alignment horizontal="left" vertical="center" shrinkToFit="1"/>
      <protection/>
    </xf>
    <xf numFmtId="0" fontId="45" fillId="0" borderId="15" xfId="61" applyFont="1" applyBorder="1" applyAlignment="1">
      <alignment horizontal="left" vertical="center"/>
      <protection/>
    </xf>
    <xf numFmtId="0" fontId="45" fillId="0" borderId="20" xfId="61" applyFont="1" applyBorder="1" applyAlignment="1">
      <alignment horizontal="left" vertical="center"/>
      <protection/>
    </xf>
    <xf numFmtId="176" fontId="45" fillId="0" borderId="32" xfId="61" applyNumberFormat="1" applyFont="1" applyBorder="1" applyAlignment="1">
      <alignment vertical="center"/>
      <protection/>
    </xf>
    <xf numFmtId="177" fontId="45" fillId="0" borderId="32" xfId="61" applyNumberFormat="1" applyFont="1" applyBorder="1" applyAlignment="1">
      <alignment vertical="center"/>
      <protection/>
    </xf>
    <xf numFmtId="177" fontId="45" fillId="0" borderId="62" xfId="61" applyNumberFormat="1" applyFont="1" applyBorder="1" applyAlignment="1">
      <alignment vertical="center"/>
      <protection/>
    </xf>
    <xf numFmtId="0" fontId="0" fillId="0" borderId="0" xfId="61" applyFont="1">
      <alignment/>
      <protection/>
    </xf>
    <xf numFmtId="0" fontId="44" fillId="0" borderId="0" xfId="63" applyFont="1">
      <alignment/>
      <protection/>
    </xf>
    <xf numFmtId="0" fontId="45" fillId="0" borderId="0" xfId="63" applyFont="1">
      <alignment/>
      <protection/>
    </xf>
    <xf numFmtId="0" fontId="0" fillId="0" borderId="0" xfId="63" applyFont="1">
      <alignment/>
      <protection/>
    </xf>
    <xf numFmtId="0" fontId="46" fillId="0" borderId="0" xfId="63" applyFont="1">
      <alignment/>
      <protection/>
    </xf>
    <xf numFmtId="0" fontId="45" fillId="0" borderId="0" xfId="63" applyFont="1" applyAlignment="1">
      <alignment horizontal="right"/>
      <protection/>
    </xf>
    <xf numFmtId="0" fontId="45" fillId="0" borderId="22" xfId="63" applyFont="1" applyBorder="1" applyAlignment="1">
      <alignment horizontal="center" vertical="center"/>
      <protection/>
    </xf>
    <xf numFmtId="0" fontId="45" fillId="0" borderId="23" xfId="63" applyFont="1" applyBorder="1" applyAlignment="1">
      <alignment horizontal="center" vertical="center"/>
      <protection/>
    </xf>
    <xf numFmtId="0" fontId="45" fillId="0" borderId="48" xfId="63" applyFont="1" applyBorder="1" applyAlignment="1">
      <alignment horizontal="center" vertical="center"/>
      <protection/>
    </xf>
    <xf numFmtId="176" fontId="45" fillId="0" borderId="48" xfId="63" applyNumberFormat="1" applyFont="1" applyBorder="1" applyAlignment="1">
      <alignment vertical="center"/>
      <protection/>
    </xf>
    <xf numFmtId="177" fontId="45" fillId="0" borderId="48" xfId="63" applyNumberFormat="1" applyFont="1" applyBorder="1" applyAlignment="1">
      <alignment vertical="center"/>
      <protection/>
    </xf>
    <xf numFmtId="177" fontId="45" fillId="0" borderId="57" xfId="63" applyNumberFormat="1" applyFont="1" applyBorder="1" applyAlignment="1">
      <alignment vertical="center"/>
      <protection/>
    </xf>
    <xf numFmtId="0" fontId="45" fillId="0" borderId="15" xfId="63" applyFont="1" applyBorder="1" applyAlignment="1">
      <alignment horizontal="center" vertical="center"/>
      <protection/>
    </xf>
    <xf numFmtId="176" fontId="45" fillId="0" borderId="15" xfId="63" applyNumberFormat="1" applyFont="1" applyBorder="1" applyAlignment="1">
      <alignment vertical="center"/>
      <protection/>
    </xf>
    <xf numFmtId="177" fontId="45" fillId="0" borderId="15" xfId="63" applyNumberFormat="1" applyFont="1" applyBorder="1" applyAlignment="1">
      <alignment vertical="center"/>
      <protection/>
    </xf>
    <xf numFmtId="177" fontId="45" fillId="0" borderId="17" xfId="63" applyNumberFormat="1" applyFont="1" applyBorder="1" applyAlignment="1">
      <alignment vertical="center"/>
      <protection/>
    </xf>
    <xf numFmtId="0" fontId="45" fillId="0" borderId="20" xfId="63" applyFont="1" applyBorder="1" applyAlignment="1">
      <alignment horizontal="center" vertical="center"/>
      <protection/>
    </xf>
    <xf numFmtId="176" fontId="45" fillId="0" borderId="20" xfId="63" applyNumberFormat="1" applyFont="1" applyBorder="1" applyAlignment="1">
      <alignment vertical="center"/>
      <protection/>
    </xf>
    <xf numFmtId="177" fontId="45" fillId="0" borderId="20" xfId="63" applyNumberFormat="1" applyFont="1" applyBorder="1" applyAlignment="1">
      <alignment vertical="center"/>
      <protection/>
    </xf>
    <xf numFmtId="177" fontId="45" fillId="0" borderId="51" xfId="63" applyNumberFormat="1" applyFont="1" applyBorder="1" applyAlignment="1">
      <alignment vertical="center"/>
      <protection/>
    </xf>
    <xf numFmtId="176" fontId="45" fillId="0" borderId="22" xfId="63" applyNumberFormat="1" applyFont="1" applyBorder="1" applyAlignment="1">
      <alignment vertical="center"/>
      <protection/>
    </xf>
    <xf numFmtId="177" fontId="45" fillId="0" borderId="22" xfId="63" applyNumberFormat="1" applyFont="1" applyBorder="1" applyAlignment="1">
      <alignment vertical="center"/>
      <protection/>
    </xf>
    <xf numFmtId="177" fontId="45" fillId="0" borderId="23" xfId="63" applyNumberFormat="1" applyFont="1" applyBorder="1" applyAlignment="1">
      <alignment vertical="center"/>
      <protection/>
    </xf>
    <xf numFmtId="176" fontId="45" fillId="0" borderId="20" xfId="63" applyNumberFormat="1" applyFont="1" applyBorder="1" applyAlignment="1">
      <alignment horizontal="center" vertical="center"/>
      <protection/>
    </xf>
    <xf numFmtId="176" fontId="45" fillId="0" borderId="20" xfId="63" applyNumberFormat="1" applyFont="1" applyBorder="1" applyAlignment="1">
      <alignment horizontal="right" vertical="center"/>
      <protection/>
    </xf>
    <xf numFmtId="176" fontId="45" fillId="0" borderId="51" xfId="63" applyNumberFormat="1" applyFont="1" applyBorder="1" applyAlignment="1">
      <alignment horizontal="right" vertical="center"/>
      <protection/>
    </xf>
    <xf numFmtId="177" fontId="45" fillId="0" borderId="63" xfId="63" applyNumberFormat="1" applyFont="1" applyBorder="1" applyAlignment="1">
      <alignment vertical="center"/>
      <protection/>
    </xf>
    <xf numFmtId="176" fontId="45" fillId="0" borderId="15" xfId="63" applyNumberFormat="1" applyFont="1" applyBorder="1" applyAlignment="1">
      <alignment horizontal="center" vertical="center"/>
      <protection/>
    </xf>
    <xf numFmtId="177" fontId="45" fillId="0" borderId="15" xfId="63" applyNumberFormat="1" applyFont="1" applyBorder="1" applyAlignment="1">
      <alignment horizontal="right" vertical="center"/>
      <protection/>
    </xf>
    <xf numFmtId="177" fontId="45" fillId="0" borderId="51" xfId="63" applyNumberFormat="1" applyFont="1" applyBorder="1" applyAlignment="1">
      <alignment horizontal="right" vertical="center"/>
      <protection/>
    </xf>
    <xf numFmtId="177" fontId="45" fillId="0" borderId="20" xfId="63" applyNumberFormat="1" applyFont="1" applyBorder="1" applyAlignment="1">
      <alignment horizontal="right" vertical="center"/>
      <protection/>
    </xf>
    <xf numFmtId="177" fontId="45" fillId="0" borderId="64" xfId="63" applyNumberFormat="1" applyFont="1" applyBorder="1" applyAlignment="1">
      <alignment horizontal="right" vertical="center"/>
      <protection/>
    </xf>
    <xf numFmtId="177" fontId="45" fillId="0" borderId="65" xfId="63" applyNumberFormat="1" applyFont="1" applyBorder="1" applyAlignment="1">
      <alignment vertical="center"/>
      <protection/>
    </xf>
    <xf numFmtId="177" fontId="45" fillId="0" borderId="64" xfId="63" applyNumberFormat="1" applyFont="1" applyBorder="1" applyAlignment="1">
      <alignment vertical="center"/>
      <protection/>
    </xf>
    <xf numFmtId="0" fontId="45" fillId="0" borderId="34" xfId="63" applyFont="1" applyBorder="1" applyAlignment="1">
      <alignment horizontal="center" vertical="center"/>
      <protection/>
    </xf>
    <xf numFmtId="176" fontId="45" fillId="0" borderId="34" xfId="63" applyNumberFormat="1" applyFont="1" applyBorder="1" applyAlignment="1">
      <alignment vertical="center"/>
      <protection/>
    </xf>
    <xf numFmtId="177" fontId="45" fillId="0" borderId="34" xfId="63" applyNumberFormat="1" applyFont="1" applyBorder="1" applyAlignment="1">
      <alignment vertical="center"/>
      <protection/>
    </xf>
    <xf numFmtId="177" fontId="45" fillId="0" borderId="66" xfId="63" applyNumberFormat="1" applyFont="1" applyBorder="1" applyAlignment="1">
      <alignment vertical="center"/>
      <protection/>
    </xf>
    <xf numFmtId="176" fontId="45" fillId="0" borderId="0" xfId="63" applyNumberFormat="1" applyFont="1">
      <alignment/>
      <protection/>
    </xf>
    <xf numFmtId="177" fontId="45" fillId="0" borderId="0" xfId="63" applyNumberFormat="1" applyFont="1">
      <alignment/>
      <protection/>
    </xf>
    <xf numFmtId="0" fontId="45" fillId="0" borderId="0" xfId="63" applyFont="1" applyAlignment="1">
      <alignment vertical="top"/>
      <protection/>
    </xf>
    <xf numFmtId="0" fontId="45" fillId="0" borderId="67" xfId="63" applyFont="1" applyBorder="1" applyAlignment="1">
      <alignment horizontal="center" vertical="center"/>
      <protection/>
    </xf>
    <xf numFmtId="0" fontId="45" fillId="0" borderId="18" xfId="63" applyFont="1" applyBorder="1" applyAlignment="1">
      <alignment horizontal="center" vertical="center"/>
      <protection/>
    </xf>
    <xf numFmtId="41" fontId="45" fillId="0" borderId="15" xfId="63" applyNumberFormat="1" applyFont="1" applyBorder="1" applyAlignment="1">
      <alignment horizontal="right" vertical="center"/>
      <protection/>
    </xf>
    <xf numFmtId="0" fontId="45" fillId="0" borderId="59" xfId="63" applyFont="1" applyBorder="1" applyAlignment="1">
      <alignment horizontal="center" vertical="center"/>
      <protection/>
    </xf>
    <xf numFmtId="0" fontId="45" fillId="0" borderId="31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vertical="center"/>
      <protection/>
    </xf>
    <xf numFmtId="0" fontId="44" fillId="0" borderId="0" xfId="64" applyFont="1">
      <alignment/>
      <protection/>
    </xf>
    <xf numFmtId="0" fontId="48" fillId="0" borderId="0" xfId="64" applyFont="1">
      <alignment/>
      <protection/>
    </xf>
    <xf numFmtId="0" fontId="45" fillId="0" borderId="0" xfId="64" applyFont="1">
      <alignment/>
      <protection/>
    </xf>
    <xf numFmtId="0" fontId="0" fillId="0" borderId="0" xfId="64" applyFont="1">
      <alignment/>
      <protection/>
    </xf>
    <xf numFmtId="0" fontId="45" fillId="0" borderId="0" xfId="64" applyFont="1" applyAlignment="1">
      <alignment horizontal="right"/>
      <protection/>
    </xf>
    <xf numFmtId="0" fontId="45" fillId="0" borderId="68" xfId="64" applyFont="1" applyBorder="1" applyAlignment="1">
      <alignment horizontal="center" vertical="center"/>
      <protection/>
    </xf>
    <xf numFmtId="0" fontId="45" fillId="0" borderId="56" xfId="64" applyFont="1" applyBorder="1" applyAlignment="1">
      <alignment horizontal="center" vertical="center"/>
      <protection/>
    </xf>
    <xf numFmtId="0" fontId="45" fillId="0" borderId="43" xfId="64" applyFont="1" applyBorder="1" applyAlignment="1">
      <alignment horizontal="center" vertical="center"/>
      <protection/>
    </xf>
    <xf numFmtId="0" fontId="45" fillId="0" borderId="11" xfId="64" applyFont="1" applyBorder="1" applyAlignment="1">
      <alignment horizontal="center" vertical="center"/>
      <protection/>
    </xf>
    <xf numFmtId="0" fontId="45" fillId="0" borderId="69" xfId="64" applyFont="1" applyBorder="1" applyAlignment="1">
      <alignment horizontal="center" vertical="center"/>
      <protection/>
    </xf>
    <xf numFmtId="0" fontId="45" fillId="0" borderId="10" xfId="64" applyFont="1" applyBorder="1" applyAlignment="1">
      <alignment horizontal="center" vertical="center"/>
      <protection/>
    </xf>
    <xf numFmtId="0" fontId="45" fillId="0" borderId="12" xfId="64" applyFont="1" applyBorder="1" applyAlignment="1">
      <alignment horizontal="center" vertical="center"/>
      <protection/>
    </xf>
    <xf numFmtId="0" fontId="45" fillId="0" borderId="70" xfId="64" applyFont="1" applyBorder="1" applyAlignment="1">
      <alignment horizontal="center" vertical="center"/>
      <protection/>
    </xf>
    <xf numFmtId="176" fontId="45" fillId="0" borderId="70" xfId="64" applyNumberFormat="1" applyFont="1" applyBorder="1" applyAlignment="1">
      <alignment vertical="center"/>
      <protection/>
    </xf>
    <xf numFmtId="176" fontId="45" fillId="0" borderId="71" xfId="64" applyNumberFormat="1" applyFont="1" applyBorder="1" applyAlignment="1">
      <alignment vertical="center"/>
      <protection/>
    </xf>
    <xf numFmtId="176" fontId="45" fillId="0" borderId="19" xfId="64" applyNumberFormat="1" applyFont="1" applyBorder="1" applyAlignment="1">
      <alignment vertical="center"/>
      <protection/>
    </xf>
    <xf numFmtId="176" fontId="45" fillId="0" borderId="20" xfId="64" applyNumberFormat="1" applyFont="1" applyBorder="1" applyAlignment="1">
      <alignment vertical="center"/>
      <protection/>
    </xf>
    <xf numFmtId="176" fontId="45" fillId="0" borderId="54" xfId="64" applyNumberFormat="1" applyFont="1" applyBorder="1" applyAlignment="1">
      <alignment vertical="center"/>
      <protection/>
    </xf>
    <xf numFmtId="176" fontId="45" fillId="0" borderId="51" xfId="64" applyNumberFormat="1" applyFont="1" applyBorder="1" applyAlignment="1">
      <alignment vertical="center"/>
      <protection/>
    </xf>
    <xf numFmtId="0" fontId="45" fillId="0" borderId="22" xfId="64" applyFont="1" applyBorder="1" applyAlignment="1">
      <alignment horizontal="center" vertical="center"/>
      <protection/>
    </xf>
    <xf numFmtId="177" fontId="45" fillId="0" borderId="22" xfId="64" applyNumberFormat="1" applyFont="1" applyBorder="1" applyAlignment="1">
      <alignment vertical="center"/>
      <protection/>
    </xf>
    <xf numFmtId="177" fontId="45" fillId="0" borderId="21" xfId="64" applyNumberFormat="1" applyFont="1" applyBorder="1" applyAlignment="1">
      <alignment vertical="center"/>
      <protection/>
    </xf>
    <xf numFmtId="183" fontId="45" fillId="0" borderId="22" xfId="64" applyNumberFormat="1" applyFont="1" applyBorder="1" applyAlignment="1">
      <alignment vertical="center"/>
      <protection/>
    </xf>
    <xf numFmtId="183" fontId="45" fillId="0" borderId="30" xfId="64" applyNumberFormat="1" applyFont="1" applyBorder="1" applyAlignment="1">
      <alignment vertical="center"/>
      <protection/>
    </xf>
    <xf numFmtId="183" fontId="45" fillId="0" borderId="21" xfId="64" applyNumberFormat="1" applyFont="1" applyBorder="1" applyAlignment="1">
      <alignment vertical="center"/>
      <protection/>
    </xf>
    <xf numFmtId="183" fontId="45" fillId="0" borderId="23" xfId="64" applyNumberFormat="1" applyFont="1" applyBorder="1" applyAlignment="1">
      <alignment vertical="center"/>
      <protection/>
    </xf>
    <xf numFmtId="176" fontId="45" fillId="0" borderId="22" xfId="64" applyNumberFormat="1" applyFont="1" applyBorder="1" applyAlignment="1">
      <alignment vertical="center"/>
      <protection/>
    </xf>
    <xf numFmtId="176" fontId="45" fillId="0" borderId="21" xfId="64" applyNumberFormat="1" applyFont="1" applyBorder="1" applyAlignment="1">
      <alignment vertical="center"/>
      <protection/>
    </xf>
    <xf numFmtId="176" fontId="45" fillId="0" borderId="30" xfId="64" applyNumberFormat="1" applyFont="1" applyBorder="1" applyAlignment="1">
      <alignment vertical="center"/>
      <protection/>
    </xf>
    <xf numFmtId="176" fontId="45" fillId="0" borderId="23" xfId="64" applyNumberFormat="1" applyFont="1" applyBorder="1" applyAlignment="1">
      <alignment vertical="center"/>
      <protection/>
    </xf>
    <xf numFmtId="0" fontId="45" fillId="0" borderId="26" xfId="64" applyFont="1" applyBorder="1" applyAlignment="1">
      <alignment horizontal="center" vertical="center"/>
      <protection/>
    </xf>
    <xf numFmtId="177" fontId="45" fillId="0" borderId="26" xfId="64" applyNumberFormat="1" applyFont="1" applyBorder="1" applyAlignment="1">
      <alignment vertical="center"/>
      <protection/>
    </xf>
    <xf numFmtId="177" fontId="45" fillId="0" borderId="25" xfId="64" applyNumberFormat="1" applyFont="1" applyBorder="1" applyAlignment="1">
      <alignment vertical="center"/>
      <protection/>
    </xf>
    <xf numFmtId="183" fontId="45" fillId="0" borderId="26" xfId="64" applyNumberFormat="1" applyFont="1" applyBorder="1" applyAlignment="1">
      <alignment vertical="center"/>
      <protection/>
    </xf>
    <xf numFmtId="183" fontId="45" fillId="0" borderId="72" xfId="64" applyNumberFormat="1" applyFont="1" applyBorder="1" applyAlignment="1">
      <alignment vertical="center"/>
      <protection/>
    </xf>
    <xf numFmtId="183" fontId="45" fillId="0" borderId="25" xfId="64" applyNumberFormat="1" applyFont="1" applyBorder="1" applyAlignment="1">
      <alignment vertical="center"/>
      <protection/>
    </xf>
    <xf numFmtId="183" fontId="45" fillId="0" borderId="27" xfId="64" applyNumberFormat="1" applyFont="1" applyBorder="1" applyAlignment="1">
      <alignment vertical="center"/>
      <protection/>
    </xf>
    <xf numFmtId="0" fontId="45" fillId="0" borderId="73" xfId="64" applyFont="1" applyBorder="1" applyAlignment="1">
      <alignment horizontal="center" vertical="center"/>
      <protection/>
    </xf>
    <xf numFmtId="0" fontId="45" fillId="0" borderId="53" xfId="64" applyFont="1" applyBorder="1" applyAlignment="1">
      <alignment horizontal="center" vertical="center"/>
      <protection/>
    </xf>
    <xf numFmtId="0" fontId="45" fillId="0" borderId="74" xfId="64" applyFont="1" applyBorder="1" applyAlignment="1">
      <alignment horizontal="center" vertical="center"/>
      <protection/>
    </xf>
    <xf numFmtId="176" fontId="45" fillId="0" borderId="71" xfId="64" applyNumberFormat="1" applyFont="1" applyBorder="1" applyAlignment="1">
      <alignment horizontal="center" vertical="center"/>
      <protection/>
    </xf>
    <xf numFmtId="177" fontId="45" fillId="0" borderId="21" xfId="64" applyNumberFormat="1" applyFont="1" applyBorder="1" applyAlignment="1">
      <alignment horizontal="center" vertical="center"/>
      <protection/>
    </xf>
    <xf numFmtId="176" fontId="45" fillId="0" borderId="21" xfId="64" applyNumberFormat="1" applyFont="1" applyBorder="1" applyAlignment="1">
      <alignment horizontal="center" vertical="center"/>
      <protection/>
    </xf>
    <xf numFmtId="177" fontId="45" fillId="0" borderId="25" xfId="64" applyNumberFormat="1" applyFont="1" applyBorder="1" applyAlignment="1">
      <alignment horizontal="center" vertical="center"/>
      <protection/>
    </xf>
    <xf numFmtId="177" fontId="45" fillId="0" borderId="70" xfId="64" applyNumberFormat="1" applyFont="1" applyBorder="1" applyAlignment="1">
      <alignment vertical="center"/>
      <protection/>
    </xf>
    <xf numFmtId="177" fontId="45" fillId="0" borderId="71" xfId="64" applyNumberFormat="1" applyFont="1" applyBorder="1" applyAlignment="1">
      <alignment horizontal="center" vertical="center"/>
      <protection/>
    </xf>
    <xf numFmtId="177" fontId="45" fillId="0" borderId="70" xfId="64" applyNumberFormat="1" applyFont="1" applyBorder="1" applyAlignment="1">
      <alignment horizontal="center" vertical="center"/>
      <protection/>
    </xf>
    <xf numFmtId="176" fontId="45" fillId="0" borderId="75" xfId="64" applyNumberFormat="1" applyFont="1" applyBorder="1" applyAlignment="1">
      <alignment vertical="center"/>
      <protection/>
    </xf>
    <xf numFmtId="176" fontId="45" fillId="0" borderId="76" xfId="64" applyNumberFormat="1" applyFont="1" applyBorder="1" applyAlignment="1">
      <alignment horizontal="center" vertical="center"/>
      <protection/>
    </xf>
    <xf numFmtId="177" fontId="45" fillId="0" borderId="22" xfId="64" applyNumberFormat="1" applyFont="1" applyBorder="1" applyAlignment="1">
      <alignment horizontal="center" vertical="center"/>
      <protection/>
    </xf>
    <xf numFmtId="183" fontId="45" fillId="0" borderId="21" xfId="64" applyNumberFormat="1" applyFont="1" applyBorder="1" applyAlignment="1">
      <alignment horizontal="center" vertical="center"/>
      <protection/>
    </xf>
    <xf numFmtId="183" fontId="45" fillId="0" borderId="23" xfId="64" applyNumberFormat="1" applyFont="1" applyBorder="1" applyAlignment="1">
      <alignment horizontal="center" vertical="center"/>
      <protection/>
    </xf>
    <xf numFmtId="176" fontId="45" fillId="0" borderId="23" xfId="64" applyNumberFormat="1" applyFont="1" applyBorder="1" applyAlignment="1">
      <alignment horizontal="center" vertical="center"/>
      <protection/>
    </xf>
    <xf numFmtId="0" fontId="45" fillId="0" borderId="15" xfId="64" applyFont="1" applyBorder="1" applyAlignment="1">
      <alignment horizontal="center" vertical="center"/>
      <protection/>
    </xf>
    <xf numFmtId="177" fontId="45" fillId="0" borderId="15" xfId="64" applyNumberFormat="1" applyFont="1" applyBorder="1" applyAlignment="1">
      <alignment vertical="center"/>
      <protection/>
    </xf>
    <xf numFmtId="177" fontId="45" fillId="0" borderId="14" xfId="64" applyNumberFormat="1" applyFont="1" applyBorder="1" applyAlignment="1">
      <alignment horizontal="center" vertical="center"/>
      <protection/>
    </xf>
    <xf numFmtId="177" fontId="45" fillId="0" borderId="15" xfId="64" applyNumberFormat="1" applyFont="1" applyBorder="1" applyAlignment="1">
      <alignment horizontal="center" vertical="center"/>
      <protection/>
    </xf>
    <xf numFmtId="177" fontId="45" fillId="0" borderId="26" xfId="64" applyNumberFormat="1" applyFont="1" applyBorder="1" applyAlignment="1">
      <alignment horizontal="center" vertical="center"/>
      <protection/>
    </xf>
    <xf numFmtId="183" fontId="45" fillId="0" borderId="39" xfId="64" applyNumberFormat="1" applyFont="1" applyBorder="1" applyAlignment="1">
      <alignment vertical="center"/>
      <protection/>
    </xf>
    <xf numFmtId="183" fontId="45" fillId="0" borderId="41" xfId="64" applyNumberFormat="1" applyFont="1" applyBorder="1" applyAlignment="1">
      <alignment vertical="center"/>
      <protection/>
    </xf>
    <xf numFmtId="183" fontId="45" fillId="0" borderId="40" xfId="64" applyNumberFormat="1" applyFont="1" applyBorder="1" applyAlignment="1">
      <alignment horizontal="center" vertical="center"/>
      <protection/>
    </xf>
    <xf numFmtId="183" fontId="45" fillId="0" borderId="42" xfId="64" applyNumberFormat="1" applyFont="1" applyBorder="1" applyAlignment="1">
      <alignment horizontal="center" vertical="center"/>
      <protection/>
    </xf>
    <xf numFmtId="176" fontId="45" fillId="0" borderId="20" xfId="64" applyNumberFormat="1" applyFont="1" applyBorder="1" applyAlignment="1">
      <alignment horizontal="center" vertical="center"/>
      <protection/>
    </xf>
    <xf numFmtId="176" fontId="45" fillId="0" borderId="20" xfId="64" applyNumberFormat="1" applyFont="1" applyBorder="1" applyAlignment="1">
      <alignment horizontal="right" vertical="center"/>
      <protection/>
    </xf>
    <xf numFmtId="176" fontId="45" fillId="0" borderId="54" xfId="64" applyNumberFormat="1" applyFont="1" applyBorder="1" applyAlignment="1">
      <alignment horizontal="right" vertical="center"/>
      <protection/>
    </xf>
    <xf numFmtId="176" fontId="45" fillId="0" borderId="19" xfId="64" applyNumberFormat="1" applyFont="1" applyBorder="1" applyAlignment="1">
      <alignment horizontal="right" vertical="center"/>
      <protection/>
    </xf>
    <xf numFmtId="176" fontId="45" fillId="0" borderId="51" xfId="64" applyNumberFormat="1" applyFont="1" applyBorder="1" applyAlignment="1">
      <alignment horizontal="right" vertical="center"/>
      <protection/>
    </xf>
    <xf numFmtId="183" fontId="45" fillId="0" borderId="22" xfId="64" applyNumberFormat="1" applyFont="1" applyBorder="1" applyAlignment="1">
      <alignment horizontal="center" vertical="center"/>
      <protection/>
    </xf>
    <xf numFmtId="176" fontId="45" fillId="0" borderId="22" xfId="64" applyNumberFormat="1" applyFont="1" applyBorder="1" applyAlignment="1">
      <alignment horizontal="center" vertical="center"/>
      <protection/>
    </xf>
    <xf numFmtId="176" fontId="45" fillId="0" borderId="22" xfId="64" applyNumberFormat="1" applyFont="1" applyBorder="1" applyAlignment="1">
      <alignment horizontal="right" vertical="center"/>
      <protection/>
    </xf>
    <xf numFmtId="176" fontId="45" fillId="0" borderId="30" xfId="64" applyNumberFormat="1" applyFont="1" applyBorder="1" applyAlignment="1">
      <alignment horizontal="right" vertical="center"/>
      <protection/>
    </xf>
    <xf numFmtId="176" fontId="45" fillId="0" borderId="21" xfId="64" applyNumberFormat="1" applyFont="1" applyBorder="1" applyAlignment="1">
      <alignment horizontal="right" vertical="center"/>
      <protection/>
    </xf>
    <xf numFmtId="176" fontId="45" fillId="0" borderId="23" xfId="64" applyNumberFormat="1" applyFont="1" applyBorder="1" applyAlignment="1">
      <alignment horizontal="right" vertical="center"/>
      <protection/>
    </xf>
    <xf numFmtId="183" fontId="45" fillId="0" borderId="26" xfId="64" applyNumberFormat="1" applyFont="1" applyBorder="1" applyAlignment="1">
      <alignment horizontal="center" vertical="center"/>
      <protection/>
    </xf>
    <xf numFmtId="176" fontId="45" fillId="0" borderId="71" xfId="64" applyNumberFormat="1" applyFont="1" applyBorder="1" applyAlignment="1">
      <alignment horizontal="right" vertical="center"/>
      <protection/>
    </xf>
    <xf numFmtId="176" fontId="45" fillId="0" borderId="51" xfId="64" applyNumberFormat="1" applyFont="1" applyBorder="1" applyAlignment="1">
      <alignment horizontal="center" vertical="center"/>
      <protection/>
    </xf>
    <xf numFmtId="183" fontId="45" fillId="0" borderId="27" xfId="64" applyNumberFormat="1" applyFont="1" applyBorder="1" applyAlignment="1">
      <alignment horizontal="center" vertical="center"/>
      <protection/>
    </xf>
    <xf numFmtId="176" fontId="45" fillId="0" borderId="54" xfId="64" applyNumberFormat="1" applyFont="1" applyBorder="1" applyAlignment="1">
      <alignment horizontal="center" vertical="center"/>
      <protection/>
    </xf>
    <xf numFmtId="176" fontId="45" fillId="0" borderId="19" xfId="64" applyNumberFormat="1" applyFont="1" applyBorder="1" applyAlignment="1">
      <alignment horizontal="center" vertical="center"/>
      <protection/>
    </xf>
    <xf numFmtId="176" fontId="45" fillId="0" borderId="76" xfId="64" applyNumberFormat="1" applyFont="1" applyBorder="1" applyAlignment="1">
      <alignment horizontal="right" vertical="center"/>
      <protection/>
    </xf>
    <xf numFmtId="183" fontId="45" fillId="0" borderId="30" xfId="64" applyNumberFormat="1" applyFont="1" applyBorder="1" applyAlignment="1">
      <alignment horizontal="center" vertical="center"/>
      <protection/>
    </xf>
    <xf numFmtId="183" fontId="45" fillId="0" borderId="23" xfId="64" applyNumberFormat="1" applyFont="1" applyBorder="1" applyAlignment="1">
      <alignment horizontal="right" vertical="center"/>
      <protection/>
    </xf>
    <xf numFmtId="176" fontId="45" fillId="0" borderId="30" xfId="64" applyNumberFormat="1" applyFont="1" applyBorder="1" applyAlignment="1">
      <alignment horizontal="center" vertical="center"/>
      <protection/>
    </xf>
    <xf numFmtId="183" fontId="45" fillId="0" borderId="72" xfId="64" applyNumberFormat="1" applyFont="1" applyBorder="1" applyAlignment="1">
      <alignment horizontal="center" vertical="center"/>
      <protection/>
    </xf>
    <xf numFmtId="183" fontId="45" fillId="0" borderId="25" xfId="64" applyNumberFormat="1" applyFont="1" applyBorder="1" applyAlignment="1">
      <alignment horizontal="center" vertical="center"/>
      <protection/>
    </xf>
    <xf numFmtId="183" fontId="45" fillId="0" borderId="42" xfId="64" applyNumberFormat="1" applyFont="1" applyBorder="1" applyAlignment="1">
      <alignment horizontal="right" vertical="center"/>
      <protection/>
    </xf>
    <xf numFmtId="0" fontId="45" fillId="0" borderId="20" xfId="64" applyFont="1" applyBorder="1" applyAlignment="1">
      <alignment horizontal="center" vertical="center"/>
      <protection/>
    </xf>
    <xf numFmtId="0" fontId="45" fillId="0" borderId="48" xfId="64" applyFont="1" applyBorder="1" applyAlignment="1">
      <alignment horizontal="center" vertical="center"/>
      <protection/>
    </xf>
    <xf numFmtId="177" fontId="45" fillId="0" borderId="48" xfId="64" applyNumberFormat="1" applyFont="1" applyBorder="1" applyAlignment="1">
      <alignment vertical="center"/>
      <protection/>
    </xf>
    <xf numFmtId="177" fontId="45" fillId="0" borderId="77" xfId="64" applyNumberFormat="1" applyFont="1" applyBorder="1" applyAlignment="1">
      <alignment horizontal="center" vertical="center"/>
      <protection/>
    </xf>
    <xf numFmtId="177" fontId="45" fillId="0" borderId="77" xfId="64" applyNumberFormat="1" applyFont="1" applyBorder="1" applyAlignment="1">
      <alignment vertical="center"/>
      <protection/>
    </xf>
    <xf numFmtId="183" fontId="45" fillId="0" borderId="15" xfId="64" applyNumberFormat="1" applyFont="1" applyBorder="1" applyAlignment="1">
      <alignment vertical="center"/>
      <protection/>
    </xf>
    <xf numFmtId="183" fontId="45" fillId="0" borderId="0" xfId="64" applyNumberFormat="1" applyFont="1" applyAlignment="1">
      <alignment vertical="center"/>
      <protection/>
    </xf>
    <xf numFmtId="183" fontId="45" fillId="0" borderId="14" xfId="64" applyNumberFormat="1" applyFont="1" applyBorder="1" applyAlignment="1">
      <alignment vertical="center"/>
      <protection/>
    </xf>
    <xf numFmtId="183" fontId="45" fillId="0" borderId="14" xfId="64" applyNumberFormat="1" applyFont="1" applyBorder="1" applyAlignment="1">
      <alignment horizontal="center" vertical="center"/>
      <protection/>
    </xf>
    <xf numFmtId="176" fontId="45" fillId="0" borderId="70" xfId="64" applyNumberFormat="1" applyFont="1" applyBorder="1" applyAlignment="1">
      <alignment horizontal="center" vertical="center"/>
      <protection/>
    </xf>
    <xf numFmtId="176" fontId="45" fillId="0" borderId="75" xfId="64" applyNumberFormat="1" applyFont="1" applyBorder="1" applyAlignment="1">
      <alignment horizontal="right" vertical="center"/>
      <protection/>
    </xf>
    <xf numFmtId="177" fontId="45" fillId="0" borderId="30" xfId="64" applyNumberFormat="1" applyFont="1" applyBorder="1" applyAlignment="1">
      <alignment horizontal="center" vertical="center"/>
      <protection/>
    </xf>
    <xf numFmtId="0" fontId="45" fillId="0" borderId="39" xfId="64" applyFont="1" applyBorder="1" applyAlignment="1">
      <alignment horizontal="center" vertical="center"/>
      <protection/>
    </xf>
    <xf numFmtId="177" fontId="45" fillId="0" borderId="39" xfId="64" applyNumberFormat="1" applyFont="1" applyBorder="1" applyAlignment="1">
      <alignment vertical="center"/>
      <protection/>
    </xf>
    <xf numFmtId="177" fontId="45" fillId="0" borderId="40" xfId="64" applyNumberFormat="1" applyFont="1" applyBorder="1" applyAlignment="1">
      <alignment horizontal="center" vertical="center"/>
      <protection/>
    </xf>
    <xf numFmtId="177" fontId="45" fillId="0" borderId="39" xfId="64" applyNumberFormat="1" applyFont="1" applyBorder="1" applyAlignment="1">
      <alignment horizontal="center" vertical="center"/>
      <protection/>
    </xf>
    <xf numFmtId="177" fontId="45" fillId="0" borderId="72" xfId="64" applyNumberFormat="1" applyFont="1" applyBorder="1" applyAlignment="1">
      <alignment horizontal="center" vertical="center"/>
      <protection/>
    </xf>
    <xf numFmtId="177" fontId="45" fillId="0" borderId="20" xfId="64" applyNumberFormat="1" applyFont="1" applyBorder="1" applyAlignment="1">
      <alignment vertical="center"/>
      <protection/>
    </xf>
    <xf numFmtId="177" fontId="45" fillId="0" borderId="19" xfId="64" applyNumberFormat="1" applyFont="1" applyBorder="1" applyAlignment="1">
      <alignment horizontal="center" vertical="center"/>
      <protection/>
    </xf>
    <xf numFmtId="177" fontId="45" fillId="0" borderId="20" xfId="64" applyNumberFormat="1" applyFont="1" applyBorder="1" applyAlignment="1">
      <alignment horizontal="center" vertical="center"/>
      <protection/>
    </xf>
    <xf numFmtId="176" fontId="45" fillId="0" borderId="70" xfId="64" applyNumberFormat="1" applyFont="1" applyBorder="1" applyAlignment="1">
      <alignment horizontal="right" vertical="center"/>
      <protection/>
    </xf>
    <xf numFmtId="0" fontId="45" fillId="0" borderId="34" xfId="64" applyFont="1" applyBorder="1" applyAlignment="1">
      <alignment horizontal="center" vertical="center"/>
      <protection/>
    </xf>
    <xf numFmtId="177" fontId="45" fillId="0" borderId="34" xfId="64" applyNumberFormat="1" applyFont="1" applyBorder="1" applyAlignment="1">
      <alignment vertical="center"/>
      <protection/>
    </xf>
    <xf numFmtId="177" fontId="45" fillId="0" borderId="36" xfId="64" applyNumberFormat="1" applyFont="1" applyBorder="1" applyAlignment="1">
      <alignment horizontal="center" vertical="center"/>
      <protection/>
    </xf>
    <xf numFmtId="177" fontId="45" fillId="0" borderId="34" xfId="64" applyNumberFormat="1" applyFont="1" applyBorder="1" applyAlignment="1">
      <alignment horizontal="center" vertical="center"/>
      <protection/>
    </xf>
    <xf numFmtId="177" fontId="45" fillId="0" borderId="32" xfId="64" applyNumberFormat="1" applyFont="1" applyBorder="1" applyAlignment="1">
      <alignment horizontal="center" vertical="center"/>
      <protection/>
    </xf>
    <xf numFmtId="183" fontId="45" fillId="0" borderId="33" xfId="64" applyNumberFormat="1" applyFont="1" applyBorder="1" applyAlignment="1">
      <alignment vertical="center"/>
      <protection/>
    </xf>
    <xf numFmtId="183" fontId="45" fillId="0" borderId="33" xfId="64" applyNumberFormat="1" applyFont="1" applyBorder="1" applyAlignment="1">
      <alignment horizontal="center" vertical="center"/>
      <protection/>
    </xf>
    <xf numFmtId="183" fontId="45" fillId="0" borderId="62" xfId="64" applyNumberFormat="1" applyFont="1" applyBorder="1" applyAlignment="1">
      <alignment horizontal="center" vertical="center"/>
      <protection/>
    </xf>
    <xf numFmtId="0" fontId="4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26" xfId="61" applyFont="1" applyBorder="1" applyAlignment="1">
      <alignment horizontal="center" vertical="center"/>
      <protection/>
    </xf>
    <xf numFmtId="0" fontId="45" fillId="0" borderId="74" xfId="61" applyFont="1" applyBorder="1" applyAlignment="1">
      <alignment horizontal="center" vertical="center"/>
      <protection/>
    </xf>
    <xf numFmtId="0" fontId="45" fillId="0" borderId="25" xfId="61" applyFont="1" applyBorder="1" applyAlignment="1">
      <alignment horizontal="center" vertical="center"/>
      <protection/>
    </xf>
    <xf numFmtId="0" fontId="45" fillId="0" borderId="72" xfId="61" applyFont="1" applyBorder="1" applyAlignment="1">
      <alignment horizontal="center" vertical="center"/>
      <protection/>
    </xf>
    <xf numFmtId="0" fontId="45" fillId="0" borderId="78" xfId="61" applyFont="1" applyBorder="1" applyAlignment="1">
      <alignment horizontal="center" vertical="center"/>
      <protection/>
    </xf>
    <xf numFmtId="0" fontId="47" fillId="0" borderId="79" xfId="61" applyFont="1" applyBorder="1" applyAlignment="1">
      <alignment vertical="center"/>
      <protection/>
    </xf>
    <xf numFmtId="0" fontId="45" fillId="0" borderId="16" xfId="61" applyFont="1" applyBorder="1" applyAlignment="1">
      <alignment vertical="center"/>
      <protection/>
    </xf>
    <xf numFmtId="176" fontId="45" fillId="0" borderId="50" xfId="61" applyNumberFormat="1" applyFont="1" applyBorder="1" applyAlignment="1">
      <alignment vertical="center"/>
      <protection/>
    </xf>
    <xf numFmtId="176" fontId="45" fillId="0" borderId="60" xfId="61" applyNumberFormat="1" applyFont="1" applyBorder="1" applyAlignment="1">
      <alignment vertical="center"/>
      <protection/>
    </xf>
    <xf numFmtId="176" fontId="45" fillId="0" borderId="64" xfId="61" applyNumberFormat="1" applyFont="1" applyBorder="1" applyAlignment="1">
      <alignment vertical="center"/>
      <protection/>
    </xf>
    <xf numFmtId="0" fontId="47" fillId="0" borderId="80" xfId="61" applyFont="1" applyBorder="1" applyAlignment="1">
      <alignment vertical="center"/>
      <protection/>
    </xf>
    <xf numFmtId="0" fontId="45" fillId="0" borderId="22" xfId="61" applyFont="1" applyBorder="1" applyAlignment="1">
      <alignment vertical="center"/>
      <protection/>
    </xf>
    <xf numFmtId="41" fontId="45" fillId="0" borderId="48" xfId="61" applyNumberFormat="1" applyFont="1" applyBorder="1" applyAlignment="1">
      <alignment horizontal="right" vertical="center"/>
      <protection/>
    </xf>
    <xf numFmtId="41" fontId="45" fillId="0" borderId="58" xfId="61" applyNumberFormat="1" applyFont="1" applyBorder="1" applyAlignment="1">
      <alignment horizontal="right" vertical="center"/>
      <protection/>
    </xf>
    <xf numFmtId="41" fontId="45" fillId="0" borderId="77" xfId="61" applyNumberFormat="1" applyFont="1" applyBorder="1" applyAlignment="1">
      <alignment horizontal="right" vertical="center"/>
      <protection/>
    </xf>
    <xf numFmtId="41" fontId="45" fillId="0" borderId="49" xfId="61" applyNumberFormat="1" applyFont="1" applyBorder="1" applyAlignment="1">
      <alignment horizontal="right" vertical="center"/>
      <protection/>
    </xf>
    <xf numFmtId="176" fontId="45" fillId="0" borderId="22" xfId="61" applyNumberFormat="1" applyFont="1" applyBorder="1" applyAlignment="1">
      <alignment horizontal="right" vertical="center"/>
      <protection/>
    </xf>
    <xf numFmtId="176" fontId="45" fillId="0" borderId="53" xfId="61" applyNumberFormat="1" applyFont="1" applyBorder="1" applyAlignment="1">
      <alignment horizontal="right" vertical="center"/>
      <protection/>
    </xf>
    <xf numFmtId="176" fontId="45" fillId="0" borderId="30" xfId="61" applyNumberFormat="1" applyFont="1" applyBorder="1" applyAlignment="1">
      <alignment horizontal="right" vertical="center"/>
      <protection/>
    </xf>
    <xf numFmtId="176" fontId="45" fillId="0" borderId="81" xfId="61" applyNumberFormat="1" applyFont="1" applyBorder="1" applyAlignment="1">
      <alignment horizontal="right" vertical="center"/>
      <protection/>
    </xf>
    <xf numFmtId="0" fontId="47" fillId="0" borderId="13" xfId="61" applyFont="1" applyBorder="1" applyAlignment="1">
      <alignment vertical="center"/>
      <protection/>
    </xf>
    <xf numFmtId="0" fontId="49" fillId="0" borderId="48" xfId="61" applyFont="1" applyBorder="1" applyAlignment="1">
      <alignment vertical="center"/>
      <protection/>
    </xf>
    <xf numFmtId="176" fontId="45" fillId="0" borderId="53" xfId="61" applyNumberFormat="1" applyFont="1" applyBorder="1" applyAlignment="1">
      <alignment vertical="center"/>
      <protection/>
    </xf>
    <xf numFmtId="0" fontId="49" fillId="0" borderId="22" xfId="61" applyFont="1" applyBorder="1" applyAlignment="1">
      <alignment vertical="center" wrapText="1" shrinkToFit="1"/>
      <protection/>
    </xf>
    <xf numFmtId="0" fontId="45" fillId="0" borderId="22" xfId="61" applyFont="1" applyBorder="1" applyAlignment="1">
      <alignment vertical="center" shrinkToFit="1"/>
      <protection/>
    </xf>
    <xf numFmtId="0" fontId="47" fillId="0" borderId="82" xfId="61" applyFont="1" applyBorder="1" applyAlignment="1">
      <alignment vertical="center"/>
      <protection/>
    </xf>
    <xf numFmtId="176" fontId="45" fillId="0" borderId="58" xfId="61" applyNumberFormat="1" applyFont="1" applyBorder="1" applyAlignment="1">
      <alignment vertical="center"/>
      <protection/>
    </xf>
    <xf numFmtId="176" fontId="45" fillId="0" borderId="77" xfId="61" applyNumberFormat="1" applyFont="1" applyBorder="1" applyAlignment="1">
      <alignment vertical="center"/>
      <protection/>
    </xf>
    <xf numFmtId="176" fontId="45" fillId="0" borderId="49" xfId="61" applyNumberFormat="1" applyFont="1" applyBorder="1" applyAlignment="1">
      <alignment vertical="center"/>
      <protection/>
    </xf>
    <xf numFmtId="176" fontId="45" fillId="0" borderId="81" xfId="61" applyNumberFormat="1" applyFont="1" applyBorder="1" applyAlignment="1">
      <alignment vertical="center"/>
      <protection/>
    </xf>
    <xf numFmtId="41" fontId="45" fillId="0" borderId="20" xfId="61" applyNumberFormat="1" applyFont="1" applyBorder="1" applyAlignment="1">
      <alignment horizontal="right" vertical="center"/>
      <protection/>
    </xf>
    <xf numFmtId="41" fontId="45" fillId="0" borderId="22" xfId="61" applyNumberFormat="1" applyFont="1" applyBorder="1" applyAlignment="1">
      <alignment horizontal="right" vertical="center"/>
      <protection/>
    </xf>
    <xf numFmtId="41" fontId="45" fillId="0" borderId="22" xfId="61" applyNumberFormat="1" applyFont="1" applyBorder="1" applyAlignment="1">
      <alignment vertical="center"/>
      <protection/>
    </xf>
    <xf numFmtId="41" fontId="45" fillId="0" borderId="21" xfId="61" applyNumberFormat="1" applyFont="1" applyBorder="1" applyAlignment="1">
      <alignment vertical="center"/>
      <protection/>
    </xf>
    <xf numFmtId="41" fontId="45" fillId="0" borderId="53" xfId="61" applyNumberFormat="1" applyFont="1" applyBorder="1" applyAlignment="1">
      <alignment horizontal="right" vertical="center"/>
      <protection/>
    </xf>
    <xf numFmtId="41" fontId="45" fillId="0" borderId="30" xfId="61" applyNumberFormat="1" applyFont="1" applyBorder="1" applyAlignment="1">
      <alignment horizontal="right" vertical="center"/>
      <protection/>
    </xf>
    <xf numFmtId="177" fontId="45" fillId="0" borderId="34" xfId="61" applyNumberFormat="1" applyFont="1" applyBorder="1" applyAlignment="1">
      <alignment vertical="center"/>
      <protection/>
    </xf>
    <xf numFmtId="177" fontId="45" fillId="0" borderId="61" xfId="61" applyNumberFormat="1" applyFont="1" applyBorder="1" applyAlignment="1">
      <alignment vertical="center"/>
      <protection/>
    </xf>
    <xf numFmtId="177" fontId="45" fillId="0" borderId="33" xfId="61" applyNumberFormat="1" applyFont="1" applyBorder="1" applyAlignment="1">
      <alignment vertical="center"/>
      <protection/>
    </xf>
    <xf numFmtId="177" fontId="45" fillId="0" borderId="83" xfId="61" applyNumberFormat="1" applyFont="1" applyBorder="1" applyAlignment="1">
      <alignment vertical="center"/>
      <protection/>
    </xf>
    <xf numFmtId="183" fontId="45" fillId="0" borderId="83" xfId="61" applyNumberFormat="1" applyFont="1" applyBorder="1" applyAlignment="1">
      <alignment vertical="center"/>
      <protection/>
    </xf>
    <xf numFmtId="183" fontId="45" fillId="0" borderId="66" xfId="61" applyNumberFormat="1" applyFont="1" applyBorder="1" applyAlignment="1">
      <alignment vertical="center"/>
      <protection/>
    </xf>
    <xf numFmtId="0" fontId="45" fillId="0" borderId="0" xfId="61" applyFont="1" applyAlignment="1">
      <alignment horizontal="center" vertical="center"/>
      <protection/>
    </xf>
    <xf numFmtId="177" fontId="45" fillId="0" borderId="0" xfId="61" applyNumberFormat="1" applyFont="1" applyAlignment="1">
      <alignment vertical="center"/>
      <protection/>
    </xf>
    <xf numFmtId="183" fontId="45" fillId="0" borderId="0" xfId="61" applyNumberFormat="1" applyFont="1" applyAlignment="1">
      <alignment vertical="center"/>
      <protection/>
    </xf>
    <xf numFmtId="0" fontId="45" fillId="0" borderId="35" xfId="61" applyFont="1" applyBorder="1" applyAlignment="1">
      <alignment horizontal="right" vertical="center"/>
      <protection/>
    </xf>
    <xf numFmtId="0" fontId="47" fillId="0" borderId="84" xfId="61" applyFont="1" applyBorder="1" applyAlignment="1">
      <alignment vertical="center"/>
      <protection/>
    </xf>
    <xf numFmtId="176" fontId="45" fillId="0" borderId="70" xfId="61" applyNumberFormat="1" applyFont="1" applyBorder="1" applyAlignment="1">
      <alignment vertical="center"/>
      <protection/>
    </xf>
    <xf numFmtId="176" fontId="45" fillId="0" borderId="71" xfId="61" applyNumberFormat="1" applyFont="1" applyBorder="1" applyAlignment="1">
      <alignment vertical="center"/>
      <protection/>
    </xf>
    <xf numFmtId="41" fontId="45" fillId="0" borderId="21" xfId="61" applyNumberFormat="1" applyFont="1" applyBorder="1" applyAlignment="1">
      <alignment horizontal="right" vertical="center"/>
      <protection/>
    </xf>
    <xf numFmtId="0" fontId="49" fillId="0" borderId="22" xfId="61" applyFont="1" applyBorder="1" applyAlignment="1">
      <alignment vertical="center"/>
      <protection/>
    </xf>
    <xf numFmtId="0" fontId="49" fillId="0" borderId="20" xfId="61" applyFont="1" applyBorder="1" applyAlignment="1">
      <alignment vertical="center"/>
      <protection/>
    </xf>
    <xf numFmtId="0" fontId="47" fillId="0" borderId="85" xfId="61" applyFont="1" applyBorder="1" applyAlignment="1">
      <alignment vertical="center"/>
      <protection/>
    </xf>
    <xf numFmtId="176" fontId="45" fillId="33" borderId="22" xfId="61" applyNumberFormat="1" applyFont="1" applyFill="1" applyBorder="1" applyAlignment="1">
      <alignment vertical="center"/>
      <protection/>
    </xf>
    <xf numFmtId="0" fontId="49" fillId="0" borderId="80" xfId="61" applyFont="1" applyBorder="1" applyAlignment="1">
      <alignment vertical="center"/>
      <protection/>
    </xf>
    <xf numFmtId="0" fontId="49" fillId="0" borderId="18" xfId="61" applyFont="1" applyBorder="1" applyAlignment="1">
      <alignment vertical="center"/>
      <protection/>
    </xf>
    <xf numFmtId="41" fontId="45" fillId="0" borderId="20" xfId="61" applyNumberFormat="1" applyFont="1" applyBorder="1" applyAlignment="1">
      <alignment vertical="center"/>
      <protection/>
    </xf>
    <xf numFmtId="41" fontId="45" fillId="0" borderId="19" xfId="61" applyNumberFormat="1" applyFont="1" applyBorder="1" applyAlignment="1">
      <alignment horizontal="right" vertical="center"/>
      <protection/>
    </xf>
    <xf numFmtId="0" fontId="47" fillId="0" borderId="22" xfId="61" applyFont="1" applyBorder="1" applyAlignment="1">
      <alignment vertical="center" wrapText="1"/>
      <protection/>
    </xf>
    <xf numFmtId="0" fontId="45" fillId="0" borderId="0" xfId="65" applyFont="1">
      <alignment/>
      <protection/>
    </xf>
    <xf numFmtId="0" fontId="0" fillId="0" borderId="0" xfId="65" applyFont="1">
      <alignment/>
      <protection/>
    </xf>
    <xf numFmtId="0" fontId="44" fillId="0" borderId="0" xfId="65" applyFont="1">
      <alignment/>
      <protection/>
    </xf>
    <xf numFmtId="0" fontId="45" fillId="0" borderId="0" xfId="65" applyFont="1" applyAlignment="1">
      <alignment horizontal="right"/>
      <protection/>
    </xf>
    <xf numFmtId="0" fontId="45" fillId="0" borderId="22" xfId="65" applyFont="1" applyBorder="1" applyAlignment="1">
      <alignment horizontal="center" vertical="center"/>
      <protection/>
    </xf>
    <xf numFmtId="0" fontId="45" fillId="0" borderId="21" xfId="65" applyFont="1" applyBorder="1" applyAlignment="1">
      <alignment horizontal="center" vertical="center"/>
      <protection/>
    </xf>
    <xf numFmtId="0" fontId="45" fillId="0" borderId="48" xfId="65" applyFont="1" applyBorder="1" applyAlignment="1">
      <alignment horizontal="center"/>
      <protection/>
    </xf>
    <xf numFmtId="0" fontId="45" fillId="0" borderId="50" xfId="65" applyFont="1" applyBorder="1" applyAlignment="1">
      <alignment horizontal="center"/>
      <protection/>
    </xf>
    <xf numFmtId="0" fontId="45" fillId="0" borderId="58" xfId="65" applyFont="1" applyBorder="1" applyAlignment="1">
      <alignment horizontal="center"/>
      <protection/>
    </xf>
    <xf numFmtId="0" fontId="45" fillId="0" borderId="0" xfId="65" applyFont="1" applyAlignment="1">
      <alignment horizontal="center"/>
      <protection/>
    </xf>
    <xf numFmtId="0" fontId="45" fillId="0" borderId="63" xfId="65" applyFont="1" applyBorder="1" applyAlignment="1">
      <alignment horizontal="center"/>
      <protection/>
    </xf>
    <xf numFmtId="0" fontId="45" fillId="0" borderId="18" xfId="65" applyFont="1" applyBorder="1" applyAlignment="1">
      <alignment vertical="center"/>
      <protection/>
    </xf>
    <xf numFmtId="0" fontId="45" fillId="0" borderId="15" xfId="65" applyFont="1" applyBorder="1" applyAlignment="1">
      <alignment vertical="center"/>
      <protection/>
    </xf>
    <xf numFmtId="0" fontId="45" fillId="0" borderId="15" xfId="65" applyFont="1" applyBorder="1">
      <alignment/>
      <protection/>
    </xf>
    <xf numFmtId="0" fontId="45" fillId="0" borderId="48" xfId="65" applyFont="1" applyBorder="1">
      <alignment/>
      <protection/>
    </xf>
    <xf numFmtId="0" fontId="45" fillId="0" borderId="14" xfId="65" applyFont="1" applyBorder="1">
      <alignment/>
      <protection/>
    </xf>
    <xf numFmtId="0" fontId="45" fillId="0" borderId="50" xfId="65" applyFont="1" applyBorder="1">
      <alignment/>
      <protection/>
    </xf>
    <xf numFmtId="0" fontId="45" fillId="0" borderId="63" xfId="65" applyFont="1" applyBorder="1">
      <alignment/>
      <protection/>
    </xf>
    <xf numFmtId="41" fontId="45" fillId="0" borderId="15" xfId="65" applyNumberFormat="1" applyFont="1" applyBorder="1" applyAlignment="1">
      <alignment horizontal="right" vertical="center"/>
      <protection/>
    </xf>
    <xf numFmtId="41" fontId="45" fillId="0" borderId="14" xfId="65" applyNumberFormat="1" applyFont="1" applyBorder="1" applyAlignment="1">
      <alignment horizontal="right" vertical="center"/>
      <protection/>
    </xf>
    <xf numFmtId="0" fontId="45" fillId="0" borderId="20" xfId="65" applyFont="1" applyBorder="1" applyAlignment="1">
      <alignment vertical="center"/>
      <protection/>
    </xf>
    <xf numFmtId="0" fontId="45" fillId="0" borderId="59" xfId="65" applyFont="1" applyBorder="1" applyAlignment="1">
      <alignment vertical="center"/>
      <protection/>
    </xf>
    <xf numFmtId="0" fontId="45" fillId="0" borderId="20" xfId="65" applyFont="1" applyBorder="1" applyAlignment="1">
      <alignment horizontal="center" vertical="center"/>
      <protection/>
    </xf>
    <xf numFmtId="41" fontId="45" fillId="0" borderId="21" xfId="65" applyNumberFormat="1" applyFont="1" applyBorder="1">
      <alignment/>
      <protection/>
    </xf>
    <xf numFmtId="41" fontId="45" fillId="0" borderId="22" xfId="65" applyNumberFormat="1" applyFont="1" applyBorder="1">
      <alignment/>
      <protection/>
    </xf>
    <xf numFmtId="41" fontId="45" fillId="0" borderId="20" xfId="65" applyNumberFormat="1" applyFont="1" applyBorder="1">
      <alignment/>
      <protection/>
    </xf>
    <xf numFmtId="176" fontId="45" fillId="0" borderId="48" xfId="65" applyNumberFormat="1" applyFont="1" applyBorder="1">
      <alignment/>
      <protection/>
    </xf>
    <xf numFmtId="176" fontId="45" fillId="0" borderId="58" xfId="65" applyNumberFormat="1" applyFont="1" applyBorder="1">
      <alignment/>
      <protection/>
    </xf>
    <xf numFmtId="176" fontId="45" fillId="0" borderId="49" xfId="65" applyNumberFormat="1" applyFont="1" applyBorder="1">
      <alignment/>
      <protection/>
    </xf>
    <xf numFmtId="176" fontId="45" fillId="0" borderId="65" xfId="65" applyNumberFormat="1" applyFont="1" applyBorder="1">
      <alignment/>
      <protection/>
    </xf>
    <xf numFmtId="176" fontId="45" fillId="0" borderId="20" xfId="65" applyNumberFormat="1" applyFont="1" applyBorder="1">
      <alignment/>
      <protection/>
    </xf>
    <xf numFmtId="176" fontId="45" fillId="0" borderId="15" xfId="65" applyNumberFormat="1" applyFont="1" applyBorder="1">
      <alignment/>
      <protection/>
    </xf>
    <xf numFmtId="41" fontId="45" fillId="0" borderId="20" xfId="65" applyNumberFormat="1" applyFont="1" applyBorder="1" applyAlignment="1">
      <alignment horizontal="right" vertical="center"/>
      <protection/>
    </xf>
    <xf numFmtId="176" fontId="45" fillId="0" borderId="60" xfId="65" applyNumberFormat="1" applyFont="1" applyBorder="1">
      <alignment/>
      <protection/>
    </xf>
    <xf numFmtId="176" fontId="45" fillId="0" borderId="54" xfId="65" applyNumberFormat="1" applyFont="1" applyBorder="1">
      <alignment/>
      <protection/>
    </xf>
    <xf numFmtId="176" fontId="45" fillId="0" borderId="64" xfId="65" applyNumberFormat="1" applyFont="1" applyBorder="1">
      <alignment/>
      <protection/>
    </xf>
    <xf numFmtId="0" fontId="45" fillId="0" borderId="48" xfId="65" applyFont="1" applyBorder="1" applyAlignment="1">
      <alignment horizontal="center" vertical="center"/>
      <protection/>
    </xf>
    <xf numFmtId="176" fontId="45" fillId="0" borderId="22" xfId="65" applyNumberFormat="1" applyFont="1" applyBorder="1">
      <alignment/>
      <protection/>
    </xf>
    <xf numFmtId="176" fontId="45" fillId="0" borderId="21" xfId="65" applyNumberFormat="1" applyFont="1" applyBorder="1">
      <alignment/>
      <protection/>
    </xf>
    <xf numFmtId="176" fontId="45" fillId="0" borderId="53" xfId="65" applyNumberFormat="1" applyFont="1" applyBorder="1">
      <alignment/>
      <protection/>
    </xf>
    <xf numFmtId="176" fontId="45" fillId="0" borderId="30" xfId="65" applyNumberFormat="1" applyFont="1" applyBorder="1">
      <alignment/>
      <protection/>
    </xf>
    <xf numFmtId="176" fontId="45" fillId="0" borderId="81" xfId="65" applyNumberFormat="1" applyFont="1" applyBorder="1">
      <alignment/>
      <protection/>
    </xf>
    <xf numFmtId="0" fontId="45" fillId="0" borderId="80" xfId="65" applyFont="1" applyBorder="1" applyAlignment="1">
      <alignment vertical="center"/>
      <protection/>
    </xf>
    <xf numFmtId="0" fontId="45" fillId="0" borderId="22" xfId="65" applyFont="1" applyBorder="1" applyAlignment="1">
      <alignment vertical="center"/>
      <protection/>
    </xf>
    <xf numFmtId="41" fontId="45" fillId="0" borderId="15" xfId="65" applyNumberFormat="1" applyFont="1" applyBorder="1">
      <alignment/>
      <protection/>
    </xf>
    <xf numFmtId="41" fontId="45" fillId="0" borderId="77" xfId="65" applyNumberFormat="1" applyFont="1" applyBorder="1">
      <alignment/>
      <protection/>
    </xf>
    <xf numFmtId="41" fontId="45" fillId="0" borderId="48" xfId="65" applyNumberFormat="1" applyFont="1" applyBorder="1">
      <alignment/>
      <protection/>
    </xf>
    <xf numFmtId="41" fontId="45" fillId="0" borderId="57" xfId="65" applyNumberFormat="1" applyFont="1" applyBorder="1">
      <alignment/>
      <protection/>
    </xf>
    <xf numFmtId="0" fontId="45" fillId="0" borderId="48" xfId="65" applyFont="1" applyBorder="1" applyAlignment="1">
      <alignment vertical="center"/>
      <protection/>
    </xf>
    <xf numFmtId="41" fontId="45" fillId="0" borderId="48" xfId="65" applyNumberFormat="1" applyFont="1" applyBorder="1" applyAlignment="1">
      <alignment horizontal="right"/>
      <protection/>
    </xf>
    <xf numFmtId="176" fontId="45" fillId="0" borderId="77" xfId="65" applyNumberFormat="1" applyFont="1" applyBorder="1">
      <alignment/>
      <protection/>
    </xf>
    <xf numFmtId="41" fontId="45" fillId="0" borderId="50" xfId="65" applyNumberFormat="1" applyFont="1" applyBorder="1">
      <alignment/>
      <protection/>
    </xf>
    <xf numFmtId="41" fontId="45" fillId="0" borderId="15" xfId="65" applyNumberFormat="1" applyFont="1" applyBorder="1" applyAlignment="1">
      <alignment horizontal="right"/>
      <protection/>
    </xf>
    <xf numFmtId="176" fontId="45" fillId="0" borderId="14" xfId="65" applyNumberFormat="1" applyFont="1" applyBorder="1">
      <alignment/>
      <protection/>
    </xf>
    <xf numFmtId="41" fontId="45" fillId="0" borderId="14" xfId="65" applyNumberFormat="1" applyFont="1" applyBorder="1">
      <alignment/>
      <protection/>
    </xf>
    <xf numFmtId="41" fontId="45" fillId="0" borderId="17" xfId="65" applyNumberFormat="1" applyFont="1" applyBorder="1">
      <alignment/>
      <protection/>
    </xf>
    <xf numFmtId="41" fontId="45" fillId="0" borderId="20" xfId="65" applyNumberFormat="1" applyFont="1" applyBorder="1" applyAlignment="1">
      <alignment horizontal="right"/>
      <protection/>
    </xf>
    <xf numFmtId="176" fontId="45" fillId="0" borderId="19" xfId="65" applyNumberFormat="1" applyFont="1" applyBorder="1">
      <alignment/>
      <protection/>
    </xf>
    <xf numFmtId="176" fontId="45" fillId="0" borderId="20" xfId="65" applyNumberFormat="1" applyFont="1" applyBorder="1" applyAlignment="1">
      <alignment horizontal="right"/>
      <protection/>
    </xf>
    <xf numFmtId="41" fontId="45" fillId="0" borderId="60" xfId="65" applyNumberFormat="1" applyFont="1" applyBorder="1">
      <alignment/>
      <protection/>
    </xf>
    <xf numFmtId="41" fontId="45" fillId="0" borderId="19" xfId="65" applyNumberFormat="1" applyFont="1" applyBorder="1">
      <alignment/>
      <protection/>
    </xf>
    <xf numFmtId="41" fontId="45" fillId="0" borderId="51" xfId="65" applyNumberFormat="1" applyFont="1" applyBorder="1">
      <alignment/>
      <protection/>
    </xf>
    <xf numFmtId="41" fontId="45" fillId="0" borderId="22" xfId="65" applyNumberFormat="1" applyFont="1" applyBorder="1" applyAlignment="1">
      <alignment horizontal="right"/>
      <protection/>
    </xf>
    <xf numFmtId="41" fontId="45" fillId="0" borderId="53" xfId="65" applyNumberFormat="1" applyFont="1" applyBorder="1">
      <alignment/>
      <protection/>
    </xf>
    <xf numFmtId="41" fontId="45" fillId="0" borderId="30" xfId="65" applyNumberFormat="1" applyFont="1" applyBorder="1">
      <alignment/>
      <protection/>
    </xf>
    <xf numFmtId="41" fontId="45" fillId="0" borderId="81" xfId="65" applyNumberFormat="1" applyFont="1" applyBorder="1">
      <alignment/>
      <protection/>
    </xf>
    <xf numFmtId="41" fontId="45" fillId="0" borderId="23" xfId="65" applyNumberFormat="1" applyFont="1" applyBorder="1">
      <alignment/>
      <protection/>
    </xf>
    <xf numFmtId="0" fontId="45" fillId="0" borderId="67" xfId="65" applyFont="1" applyBorder="1" applyAlignment="1">
      <alignment vertical="center"/>
      <protection/>
    </xf>
    <xf numFmtId="176" fontId="45" fillId="0" borderId="22" xfId="65" applyNumberFormat="1" applyFont="1" applyBorder="1" applyAlignment="1">
      <alignment horizontal="right"/>
      <protection/>
    </xf>
    <xf numFmtId="176" fontId="45" fillId="0" borderId="30" xfId="65" applyNumberFormat="1" applyFont="1" applyBorder="1" applyAlignment="1">
      <alignment horizontal="right"/>
      <protection/>
    </xf>
    <xf numFmtId="176" fontId="45" fillId="0" borderId="81" xfId="65" applyNumberFormat="1" applyFont="1" applyBorder="1" applyAlignment="1">
      <alignment horizontal="right"/>
      <protection/>
    </xf>
    <xf numFmtId="0" fontId="45" fillId="0" borderId="82" xfId="65" applyFont="1" applyBorder="1" applyAlignment="1">
      <alignment vertical="center"/>
      <protection/>
    </xf>
    <xf numFmtId="41" fontId="45" fillId="0" borderId="48" xfId="65" applyNumberFormat="1" applyFont="1" applyBorder="1" applyAlignment="1">
      <alignment horizontal="right" vertical="center"/>
      <protection/>
    </xf>
    <xf numFmtId="41" fontId="45" fillId="0" borderId="77" xfId="65" applyNumberFormat="1" applyFont="1" applyBorder="1" applyAlignment="1">
      <alignment horizontal="right" vertical="center"/>
      <protection/>
    </xf>
    <xf numFmtId="41" fontId="45" fillId="34" borderId="15" xfId="65" applyNumberFormat="1" applyFont="1" applyFill="1" applyBorder="1">
      <alignment/>
      <protection/>
    </xf>
    <xf numFmtId="41" fontId="45" fillId="34" borderId="77" xfId="65" applyNumberFormat="1" applyFont="1" applyFill="1" applyBorder="1">
      <alignment/>
      <protection/>
    </xf>
    <xf numFmtId="41" fontId="45" fillId="34" borderId="57" xfId="65" applyNumberFormat="1" applyFont="1" applyFill="1" applyBorder="1">
      <alignment/>
      <protection/>
    </xf>
    <xf numFmtId="41" fontId="45" fillId="34" borderId="14" xfId="65" applyNumberFormat="1" applyFont="1" applyFill="1" applyBorder="1">
      <alignment/>
      <protection/>
    </xf>
    <xf numFmtId="41" fontId="45" fillId="34" borderId="17" xfId="65" applyNumberFormat="1" applyFont="1" applyFill="1" applyBorder="1">
      <alignment/>
      <protection/>
    </xf>
    <xf numFmtId="41" fontId="45" fillId="34" borderId="20" xfId="65" applyNumberFormat="1" applyFont="1" applyFill="1" applyBorder="1">
      <alignment/>
      <protection/>
    </xf>
    <xf numFmtId="41" fontId="45" fillId="34" borderId="19" xfId="65" applyNumberFormat="1" applyFont="1" applyFill="1" applyBorder="1">
      <alignment/>
      <protection/>
    </xf>
    <xf numFmtId="41" fontId="45" fillId="34" borderId="51" xfId="65" applyNumberFormat="1" applyFont="1" applyFill="1" applyBorder="1">
      <alignment/>
      <protection/>
    </xf>
    <xf numFmtId="0" fontId="45" fillId="0" borderId="52" xfId="65" applyFont="1" applyBorder="1" applyAlignment="1">
      <alignment vertical="center"/>
      <protection/>
    </xf>
    <xf numFmtId="41" fontId="45" fillId="0" borderId="22" xfId="65" applyNumberFormat="1" applyFont="1" applyBorder="1" applyAlignment="1">
      <alignment horizontal="right" vertical="center"/>
      <protection/>
    </xf>
    <xf numFmtId="41" fontId="45" fillId="0" borderId="21" xfId="65" applyNumberFormat="1" applyFont="1" applyBorder="1" applyAlignment="1">
      <alignment horizontal="right" vertical="center"/>
      <protection/>
    </xf>
    <xf numFmtId="41" fontId="45" fillId="34" borderId="22" xfId="65" applyNumberFormat="1" applyFont="1" applyFill="1" applyBorder="1">
      <alignment/>
      <protection/>
    </xf>
    <xf numFmtId="41" fontId="45" fillId="34" borderId="21" xfId="65" applyNumberFormat="1" applyFont="1" applyFill="1" applyBorder="1">
      <alignment/>
      <protection/>
    </xf>
    <xf numFmtId="41" fontId="45" fillId="34" borderId="23" xfId="65" applyNumberFormat="1" applyFont="1" applyFill="1" applyBorder="1">
      <alignment/>
      <protection/>
    </xf>
    <xf numFmtId="176" fontId="45" fillId="0" borderId="50" xfId="65" applyNumberFormat="1" applyFont="1" applyBorder="1">
      <alignment/>
      <protection/>
    </xf>
    <xf numFmtId="176" fontId="45" fillId="0" borderId="0" xfId="65" applyNumberFormat="1" applyFont="1">
      <alignment/>
      <protection/>
    </xf>
    <xf numFmtId="176" fontId="45" fillId="0" borderId="57" xfId="65" applyNumberFormat="1" applyFont="1" applyBorder="1">
      <alignment/>
      <protection/>
    </xf>
    <xf numFmtId="176" fontId="45" fillId="0" borderId="17" xfId="65" applyNumberFormat="1" applyFont="1" applyBorder="1">
      <alignment/>
      <protection/>
    </xf>
    <xf numFmtId="0" fontId="45" fillId="0" borderId="15" xfId="65" applyFont="1" applyBorder="1" applyAlignment="1">
      <alignment vertical="center" shrinkToFit="1"/>
      <protection/>
    </xf>
    <xf numFmtId="41" fontId="45" fillId="0" borderId="0" xfId="65" applyNumberFormat="1" applyFont="1">
      <alignment/>
      <protection/>
    </xf>
    <xf numFmtId="41" fontId="45" fillId="0" borderId="14" xfId="65" applyNumberFormat="1" applyFont="1" applyBorder="1" applyAlignment="1">
      <alignment horizontal="right"/>
      <protection/>
    </xf>
    <xf numFmtId="41" fontId="45" fillId="0" borderId="17" xfId="65" applyNumberFormat="1" applyFont="1" applyBorder="1" applyAlignment="1">
      <alignment horizontal="right"/>
      <protection/>
    </xf>
    <xf numFmtId="176" fontId="45" fillId="0" borderId="15" xfId="65" applyNumberFormat="1" applyFont="1" applyBorder="1" applyAlignment="1">
      <alignment horizontal="right"/>
      <protection/>
    </xf>
    <xf numFmtId="0" fontId="45" fillId="0" borderId="14" xfId="65" applyFont="1" applyBorder="1" applyAlignment="1">
      <alignment vertical="center"/>
      <protection/>
    </xf>
    <xf numFmtId="0" fontId="50" fillId="0" borderId="15" xfId="65" applyFont="1" applyBorder="1" applyAlignment="1">
      <alignment vertical="center"/>
      <protection/>
    </xf>
    <xf numFmtId="176" fontId="45" fillId="0" borderId="22" xfId="65" applyNumberFormat="1" applyFont="1" applyBorder="1" applyAlignment="1">
      <alignment vertical="center"/>
      <protection/>
    </xf>
    <xf numFmtId="176" fontId="45" fillId="0" borderId="21" xfId="65" applyNumberFormat="1" applyFont="1" applyBorder="1" applyAlignment="1">
      <alignment vertical="center"/>
      <protection/>
    </xf>
    <xf numFmtId="176" fontId="45" fillId="0" borderId="23" xfId="65" applyNumberFormat="1" applyFont="1" applyBorder="1" applyAlignment="1">
      <alignment vertical="center"/>
      <protection/>
    </xf>
    <xf numFmtId="177" fontId="45" fillId="0" borderId="34" xfId="65" applyNumberFormat="1" applyFont="1" applyBorder="1" applyAlignment="1">
      <alignment vertical="center"/>
      <protection/>
    </xf>
    <xf numFmtId="177" fontId="45" fillId="0" borderId="36" xfId="65" applyNumberFormat="1" applyFont="1" applyBorder="1" applyAlignment="1">
      <alignment vertical="center"/>
      <protection/>
    </xf>
    <xf numFmtId="183" fontId="45" fillId="0" borderId="34" xfId="65" applyNumberFormat="1" applyFont="1" applyBorder="1" applyAlignment="1">
      <alignment vertical="center"/>
      <protection/>
    </xf>
    <xf numFmtId="183" fontId="45" fillId="0" borderId="35" xfId="65" applyNumberFormat="1" applyFont="1" applyBorder="1" applyAlignment="1">
      <alignment vertical="center"/>
      <protection/>
    </xf>
    <xf numFmtId="183" fontId="45" fillId="0" borderId="83" xfId="65" applyNumberFormat="1" applyFont="1" applyBorder="1" applyAlignment="1">
      <alignment vertical="center"/>
      <protection/>
    </xf>
    <xf numFmtId="183" fontId="45" fillId="0" borderId="36" xfId="65" applyNumberFormat="1" applyFont="1" applyBorder="1" applyAlignment="1">
      <alignment vertical="center"/>
      <protection/>
    </xf>
    <xf numFmtId="183" fontId="45" fillId="0" borderId="37" xfId="65" applyNumberFormat="1" applyFont="1" applyBorder="1" applyAlignment="1">
      <alignment vertical="center"/>
      <protection/>
    </xf>
    <xf numFmtId="0" fontId="44" fillId="0" borderId="0" xfId="66" applyFont="1" applyAlignment="1">
      <alignment vertical="center"/>
      <protection/>
    </xf>
    <xf numFmtId="0" fontId="45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46" fillId="0" borderId="0" xfId="66" applyFont="1" applyAlignment="1">
      <alignment vertical="center"/>
      <protection/>
    </xf>
    <xf numFmtId="0" fontId="45" fillId="0" borderId="0" xfId="66" applyFont="1" applyAlignment="1">
      <alignment horizontal="right"/>
      <protection/>
    </xf>
    <xf numFmtId="0" fontId="45" fillId="0" borderId="20" xfId="66" applyFont="1" applyBorder="1" applyAlignment="1">
      <alignment horizontal="center" vertical="center"/>
      <protection/>
    </xf>
    <xf numFmtId="0" fontId="45" fillId="0" borderId="51" xfId="66" applyFont="1" applyBorder="1" applyAlignment="1">
      <alignment horizontal="center" vertical="center"/>
      <protection/>
    </xf>
    <xf numFmtId="0" fontId="45" fillId="0" borderId="67" xfId="66" applyFont="1" applyBorder="1" applyAlignment="1">
      <alignment horizontal="center" vertical="center"/>
      <protection/>
    </xf>
    <xf numFmtId="0" fontId="45" fillId="0" borderId="48" xfId="66" applyFont="1" applyBorder="1" applyAlignment="1">
      <alignment horizontal="center" vertical="center"/>
      <protection/>
    </xf>
    <xf numFmtId="176" fontId="45" fillId="0" borderId="48" xfId="66" applyNumberFormat="1" applyFont="1" applyBorder="1" applyAlignment="1">
      <alignment vertical="center"/>
      <protection/>
    </xf>
    <xf numFmtId="177" fontId="45" fillId="0" borderId="48" xfId="66" applyNumberFormat="1" applyFont="1" applyBorder="1" applyAlignment="1">
      <alignment vertical="center"/>
      <protection/>
    </xf>
    <xf numFmtId="177" fontId="45" fillId="0" borderId="15" xfId="66" applyNumberFormat="1" applyFont="1" applyBorder="1" applyAlignment="1">
      <alignment vertical="center"/>
      <protection/>
    </xf>
    <xf numFmtId="177" fontId="45" fillId="0" borderId="57" xfId="66" applyNumberFormat="1" applyFont="1" applyBorder="1" applyAlignment="1">
      <alignment vertical="center"/>
      <protection/>
    </xf>
    <xf numFmtId="0" fontId="45" fillId="0" borderId="18" xfId="66" applyFont="1" applyBorder="1" applyAlignment="1">
      <alignment horizontal="center" vertical="center"/>
      <protection/>
    </xf>
    <xf numFmtId="0" fontId="45" fillId="0" borderId="15" xfId="66" applyFont="1" applyBorder="1" applyAlignment="1">
      <alignment horizontal="center" vertical="center"/>
      <protection/>
    </xf>
    <xf numFmtId="176" fontId="45" fillId="0" borderId="15" xfId="66" applyNumberFormat="1" applyFont="1" applyBorder="1" applyAlignment="1">
      <alignment vertical="center"/>
      <protection/>
    </xf>
    <xf numFmtId="177" fontId="45" fillId="0" borderId="17" xfId="66" applyNumberFormat="1" applyFont="1" applyBorder="1" applyAlignment="1">
      <alignment vertical="center"/>
      <protection/>
    </xf>
    <xf numFmtId="186" fontId="45" fillId="0" borderId="22" xfId="66" applyNumberFormat="1" applyFont="1" applyBorder="1" applyAlignment="1">
      <alignment vertical="center"/>
      <protection/>
    </xf>
    <xf numFmtId="186" fontId="45" fillId="0" borderId="23" xfId="66" applyNumberFormat="1" applyFont="1" applyBorder="1" applyAlignment="1">
      <alignment vertical="center"/>
      <protection/>
    </xf>
    <xf numFmtId="0" fontId="45" fillId="0" borderId="82" xfId="66" applyFont="1" applyBorder="1" applyAlignment="1">
      <alignment horizontal="center" vertical="center"/>
      <protection/>
    </xf>
    <xf numFmtId="0" fontId="45" fillId="0" borderId="59" xfId="66" applyFont="1" applyBorder="1" applyAlignment="1">
      <alignment horizontal="center" vertical="center"/>
      <protection/>
    </xf>
    <xf numFmtId="0" fontId="45" fillId="0" borderId="22" xfId="66" applyFont="1" applyBorder="1" applyAlignment="1">
      <alignment horizontal="center" vertical="center"/>
      <protection/>
    </xf>
    <xf numFmtId="176" fontId="45" fillId="0" borderId="22" xfId="66" applyNumberFormat="1" applyFont="1" applyBorder="1" applyAlignment="1">
      <alignment vertical="center"/>
      <protection/>
    </xf>
    <xf numFmtId="177" fontId="45" fillId="0" borderId="22" xfId="66" applyNumberFormat="1" applyFont="1" applyBorder="1" applyAlignment="1">
      <alignment vertical="center"/>
      <protection/>
    </xf>
    <xf numFmtId="177" fontId="45" fillId="0" borderId="23" xfId="66" applyNumberFormat="1" applyFont="1" applyBorder="1" applyAlignment="1">
      <alignment vertical="center"/>
      <protection/>
    </xf>
    <xf numFmtId="0" fontId="45" fillId="0" borderId="13" xfId="66" applyFont="1" applyBorder="1" applyAlignment="1">
      <alignment horizontal="center" vertical="center"/>
      <protection/>
    </xf>
    <xf numFmtId="177" fontId="45" fillId="0" borderId="63" xfId="66" applyNumberFormat="1" applyFont="1" applyBorder="1" applyAlignment="1">
      <alignment vertical="center"/>
      <protection/>
    </xf>
    <xf numFmtId="176" fontId="45" fillId="0" borderId="20" xfId="66" applyNumberFormat="1" applyFont="1" applyBorder="1" applyAlignment="1">
      <alignment vertical="center"/>
      <protection/>
    </xf>
    <xf numFmtId="177" fontId="45" fillId="0" borderId="51" xfId="66" applyNumberFormat="1" applyFont="1" applyBorder="1" applyAlignment="1">
      <alignment vertical="center"/>
      <protection/>
    </xf>
    <xf numFmtId="183" fontId="45" fillId="0" borderId="48" xfId="66" applyNumberFormat="1" applyFont="1" applyBorder="1" applyAlignment="1">
      <alignment vertical="center"/>
      <protection/>
    </xf>
    <xf numFmtId="183" fontId="45" fillId="0" borderId="63" xfId="66" applyNumberFormat="1" applyFont="1" applyBorder="1" applyAlignment="1">
      <alignment vertical="center"/>
      <protection/>
    </xf>
    <xf numFmtId="183" fontId="45" fillId="0" borderId="20" xfId="66" applyNumberFormat="1" applyFont="1" applyBorder="1" applyAlignment="1">
      <alignment vertical="center"/>
      <protection/>
    </xf>
    <xf numFmtId="183" fontId="45" fillId="0" borderId="64" xfId="66" applyNumberFormat="1" applyFont="1" applyBorder="1" applyAlignment="1">
      <alignment vertical="center"/>
      <protection/>
    </xf>
    <xf numFmtId="183" fontId="45" fillId="0" borderId="15" xfId="66" applyNumberFormat="1" applyFont="1" applyBorder="1" applyAlignment="1">
      <alignment vertical="center"/>
      <protection/>
    </xf>
    <xf numFmtId="183" fontId="45" fillId="0" borderId="23" xfId="66" applyNumberFormat="1" applyFont="1" applyBorder="1" applyAlignment="1">
      <alignment vertical="center"/>
      <protection/>
    </xf>
    <xf numFmtId="183" fontId="45" fillId="0" borderId="65" xfId="66" applyNumberFormat="1" applyFont="1" applyBorder="1" applyAlignment="1">
      <alignment vertical="center"/>
      <protection/>
    </xf>
    <xf numFmtId="183" fontId="45" fillId="0" borderId="57" xfId="66" applyNumberFormat="1" applyFont="1" applyBorder="1" applyAlignment="1">
      <alignment vertical="center"/>
      <protection/>
    </xf>
    <xf numFmtId="183" fontId="45" fillId="0" borderId="51" xfId="66" applyNumberFormat="1" applyFont="1" applyBorder="1" applyAlignment="1">
      <alignment vertical="center"/>
      <protection/>
    </xf>
    <xf numFmtId="0" fontId="45" fillId="0" borderId="34" xfId="66" applyFont="1" applyBorder="1" applyAlignment="1">
      <alignment horizontal="center" vertical="center"/>
      <protection/>
    </xf>
    <xf numFmtId="176" fontId="45" fillId="0" borderId="34" xfId="66" applyNumberFormat="1" applyFont="1" applyBorder="1" applyAlignment="1">
      <alignment vertical="center"/>
      <protection/>
    </xf>
    <xf numFmtId="183" fontId="45" fillId="0" borderId="34" xfId="66" applyNumberFormat="1" applyFont="1" applyBorder="1" applyAlignment="1">
      <alignment vertical="center"/>
      <protection/>
    </xf>
    <xf numFmtId="183" fontId="45" fillId="0" borderId="66" xfId="66" applyNumberFormat="1" applyFont="1" applyBorder="1" applyAlignment="1">
      <alignment vertical="center"/>
      <protection/>
    </xf>
    <xf numFmtId="0" fontId="45" fillId="0" borderId="85" xfId="61" applyFont="1" applyBorder="1" applyAlignment="1">
      <alignment vertical="center"/>
      <protection/>
    </xf>
    <xf numFmtId="0" fontId="45" fillId="0" borderId="82" xfId="61" applyFont="1" applyBorder="1" applyAlignment="1">
      <alignment vertical="center"/>
      <protection/>
    </xf>
    <xf numFmtId="177" fontId="45" fillId="0" borderId="63" xfId="61" applyNumberFormat="1" applyFont="1" applyBorder="1" applyAlignment="1">
      <alignment vertical="center"/>
      <protection/>
    </xf>
    <xf numFmtId="177" fontId="45" fillId="0" borderId="81" xfId="61" applyNumberFormat="1" applyFont="1" applyBorder="1" applyAlignment="1">
      <alignment vertical="center"/>
      <protection/>
    </xf>
    <xf numFmtId="0" fontId="45" fillId="0" borderId="13" xfId="61" applyFont="1" applyBorder="1" applyAlignment="1">
      <alignment vertical="center"/>
      <protection/>
    </xf>
    <xf numFmtId="177" fontId="45" fillId="0" borderId="65" xfId="61" applyNumberFormat="1" applyFont="1" applyBorder="1" applyAlignment="1">
      <alignment vertical="center"/>
      <protection/>
    </xf>
    <xf numFmtId="0" fontId="45" fillId="0" borderId="86" xfId="61" applyFont="1" applyBorder="1" applyAlignment="1">
      <alignment vertical="center"/>
      <protection/>
    </xf>
    <xf numFmtId="176" fontId="45" fillId="0" borderId="61" xfId="61" applyNumberFormat="1" applyFont="1" applyBorder="1" applyAlignment="1">
      <alignment vertical="center"/>
      <protection/>
    </xf>
    <xf numFmtId="177" fontId="45" fillId="0" borderId="87" xfId="61" applyNumberFormat="1" applyFont="1" applyBorder="1" applyAlignment="1">
      <alignment vertical="center"/>
      <protection/>
    </xf>
    <xf numFmtId="0" fontId="45" fillId="0" borderId="38" xfId="61" applyFont="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51" xfId="61" applyFont="1" applyBorder="1" applyAlignment="1">
      <alignment horizontal="center" vertical="center"/>
      <protection/>
    </xf>
    <xf numFmtId="41" fontId="45" fillId="0" borderId="57" xfId="61" applyNumberFormat="1" applyFont="1" applyBorder="1" applyAlignment="1">
      <alignment horizontal="right" vertical="center"/>
      <protection/>
    </xf>
    <xf numFmtId="41" fontId="45" fillId="0" borderId="23" xfId="61" applyNumberFormat="1" applyFont="1" applyBorder="1" applyAlignment="1">
      <alignment horizontal="right" vertical="center"/>
      <protection/>
    </xf>
    <xf numFmtId="41" fontId="45" fillId="0" borderId="0" xfId="61" applyNumberFormat="1" applyFont="1" applyAlignment="1">
      <alignment horizontal="right" vertical="center"/>
      <protection/>
    </xf>
    <xf numFmtId="41" fontId="45" fillId="0" borderId="63" xfId="61" applyNumberFormat="1" applyFont="1" applyBorder="1" applyAlignment="1">
      <alignment horizontal="right" vertical="center"/>
      <protection/>
    </xf>
    <xf numFmtId="41" fontId="45" fillId="0" borderId="81" xfId="61" applyNumberFormat="1" applyFont="1" applyBorder="1" applyAlignment="1">
      <alignment horizontal="right" vertical="center"/>
      <protection/>
    </xf>
    <xf numFmtId="41" fontId="45" fillId="0" borderId="50" xfId="61" applyNumberFormat="1" applyFont="1" applyBorder="1" applyAlignment="1">
      <alignment horizontal="right" vertical="center"/>
      <protection/>
    </xf>
    <xf numFmtId="41" fontId="45" fillId="0" borderId="65" xfId="61" applyNumberFormat="1" applyFont="1" applyBorder="1" applyAlignment="1">
      <alignment horizontal="right" vertical="center"/>
      <protection/>
    </xf>
    <xf numFmtId="41" fontId="45" fillId="0" borderId="55" xfId="61" applyNumberFormat="1" applyFont="1" applyBorder="1" applyAlignment="1">
      <alignment horizontal="right" vertical="center"/>
      <protection/>
    </xf>
    <xf numFmtId="41" fontId="45" fillId="0" borderId="61" xfId="61" applyNumberFormat="1" applyFont="1" applyBorder="1" applyAlignment="1">
      <alignment horizontal="right" vertical="center"/>
      <protection/>
    </xf>
    <xf numFmtId="41" fontId="45" fillId="0" borderId="87" xfId="61" applyNumberFormat="1" applyFont="1" applyBorder="1" applyAlignment="1">
      <alignment horizontal="right" vertical="center"/>
      <protection/>
    </xf>
    <xf numFmtId="0" fontId="45" fillId="0" borderId="23" xfId="61" applyFont="1" applyBorder="1" applyAlignment="1">
      <alignment horizontal="center" vertical="center"/>
      <protection/>
    </xf>
    <xf numFmtId="0" fontId="45" fillId="0" borderId="88" xfId="67" applyFont="1" applyBorder="1" applyAlignment="1">
      <alignment horizontal="center" vertical="center"/>
      <protection/>
    </xf>
    <xf numFmtId="0" fontId="45" fillId="0" borderId="69" xfId="0" applyFont="1" applyBorder="1" applyAlignment="1">
      <alignment horizontal="center" vertical="center"/>
    </xf>
    <xf numFmtId="0" fontId="45" fillId="0" borderId="89" xfId="67" applyFont="1" applyBorder="1" applyAlignment="1">
      <alignment horizontal="center" vertical="center"/>
      <protection/>
    </xf>
    <xf numFmtId="0" fontId="45" fillId="0" borderId="10" xfId="67" applyFont="1" applyBorder="1" applyAlignment="1">
      <alignment horizontal="center" vertical="center"/>
      <protection/>
    </xf>
    <xf numFmtId="0" fontId="45" fillId="0" borderId="18" xfId="67" applyFont="1" applyBorder="1" applyAlignment="1">
      <alignment vertical="center"/>
      <protection/>
    </xf>
    <xf numFmtId="0" fontId="45" fillId="0" borderId="24" xfId="67" applyFont="1" applyBorder="1" applyAlignment="1">
      <alignment vertical="center"/>
      <protection/>
    </xf>
    <xf numFmtId="0" fontId="45" fillId="0" borderId="28" xfId="67" applyFont="1" applyBorder="1" applyAlignment="1">
      <alignment vertical="center"/>
      <protection/>
    </xf>
    <xf numFmtId="0" fontId="45" fillId="0" borderId="31" xfId="67" applyFont="1" applyBorder="1" applyAlignment="1">
      <alignment vertical="center"/>
      <protection/>
    </xf>
    <xf numFmtId="0" fontId="0" fillId="0" borderId="38" xfId="61" applyBorder="1" applyAlignment="1">
      <alignment horizontal="left" vertical="center"/>
      <protection/>
    </xf>
    <xf numFmtId="0" fontId="45" fillId="0" borderId="31" xfId="61" applyFont="1" applyBorder="1" applyAlignment="1">
      <alignment horizontal="center" vertical="center"/>
      <protection/>
    </xf>
    <xf numFmtId="0" fontId="45" fillId="0" borderId="83" xfId="61" applyFont="1" applyBorder="1" applyAlignment="1">
      <alignment horizontal="center" vertical="center"/>
      <protection/>
    </xf>
    <xf numFmtId="0" fontId="45" fillId="0" borderId="90" xfId="61" applyFont="1" applyBorder="1" applyAlignment="1">
      <alignment horizontal="center" vertical="center"/>
      <protection/>
    </xf>
    <xf numFmtId="0" fontId="45" fillId="0" borderId="91" xfId="61" applyFont="1" applyBorder="1" applyAlignment="1">
      <alignment horizontal="center" vertical="center"/>
      <protection/>
    </xf>
    <xf numFmtId="0" fontId="45" fillId="0" borderId="67" xfId="61" applyFont="1" applyBorder="1" applyAlignment="1">
      <alignment horizontal="center" vertical="center"/>
      <protection/>
    </xf>
    <xf numFmtId="0" fontId="45" fillId="0" borderId="58" xfId="61" applyFont="1" applyBorder="1" applyAlignment="1">
      <alignment horizontal="center" vertical="center"/>
      <protection/>
    </xf>
    <xf numFmtId="0" fontId="45" fillId="0" borderId="59" xfId="61" applyFont="1" applyBorder="1" applyAlignment="1">
      <alignment horizontal="center" vertical="center"/>
      <protection/>
    </xf>
    <xf numFmtId="0" fontId="45" fillId="0" borderId="60" xfId="61" applyFont="1" applyBorder="1" applyAlignment="1">
      <alignment horizontal="center" vertical="center"/>
      <protection/>
    </xf>
    <xf numFmtId="0" fontId="45" fillId="0" borderId="80" xfId="61" applyFont="1" applyBorder="1" applyAlignment="1">
      <alignment horizontal="center" vertical="center"/>
      <protection/>
    </xf>
    <xf numFmtId="0" fontId="45" fillId="0" borderId="53" xfId="61" applyFont="1" applyBorder="1" applyAlignment="1">
      <alignment horizontal="center" vertical="center"/>
      <protection/>
    </xf>
    <xf numFmtId="0" fontId="45" fillId="0" borderId="92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45" fillId="0" borderId="67" xfId="61" applyFont="1" applyBorder="1" applyAlignment="1">
      <alignment vertical="center"/>
      <protection/>
    </xf>
    <xf numFmtId="0" fontId="45" fillId="0" borderId="58" xfId="61" applyFont="1" applyBorder="1" applyAlignment="1">
      <alignment vertical="center"/>
      <protection/>
    </xf>
    <xf numFmtId="0" fontId="45" fillId="0" borderId="18" xfId="61" applyFont="1" applyBorder="1" applyAlignment="1">
      <alignment vertical="center"/>
      <protection/>
    </xf>
    <xf numFmtId="0" fontId="45" fillId="0" borderId="50" xfId="61" applyFont="1" applyBorder="1" applyAlignment="1">
      <alignment vertical="center"/>
      <protection/>
    </xf>
    <xf numFmtId="0" fontId="45" fillId="0" borderId="18" xfId="61" applyFont="1" applyBorder="1" applyAlignment="1">
      <alignment horizontal="right" vertical="center"/>
      <protection/>
    </xf>
    <xf numFmtId="0" fontId="45" fillId="0" borderId="50" xfId="61" applyFont="1" applyBorder="1" applyAlignment="1">
      <alignment horizontal="right" vertical="center"/>
      <protection/>
    </xf>
    <xf numFmtId="0" fontId="45" fillId="0" borderId="82" xfId="62" applyFont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52" xfId="62" applyFont="1" applyBorder="1" applyAlignment="1">
      <alignment horizontal="center" vertical="center"/>
      <protection/>
    </xf>
    <xf numFmtId="0" fontId="45" fillId="0" borderId="85" xfId="62" applyFont="1" applyBorder="1" applyAlignment="1">
      <alignment horizontal="center" vertical="center"/>
      <protection/>
    </xf>
    <xf numFmtId="0" fontId="45" fillId="0" borderId="67" xfId="62" applyFont="1" applyBorder="1" applyAlignment="1">
      <alignment vertical="center"/>
      <protection/>
    </xf>
    <xf numFmtId="0" fontId="45" fillId="0" borderId="18" xfId="62" applyFont="1" applyBorder="1" applyAlignment="1">
      <alignment vertical="center"/>
      <protection/>
    </xf>
    <xf numFmtId="0" fontId="45" fillId="0" borderId="59" xfId="62" applyFont="1" applyBorder="1" applyAlignment="1">
      <alignment vertical="center"/>
      <protection/>
    </xf>
    <xf numFmtId="0" fontId="45" fillId="0" borderId="56" xfId="62" applyFont="1" applyBorder="1" applyAlignment="1">
      <alignment horizontal="center" vertical="center"/>
      <protection/>
    </xf>
    <xf numFmtId="0" fontId="45" fillId="0" borderId="93" xfId="62" applyFont="1" applyBorder="1" applyAlignment="1">
      <alignment horizontal="center" vertical="center"/>
      <protection/>
    </xf>
    <xf numFmtId="0" fontId="45" fillId="0" borderId="48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/>
      <protection/>
    </xf>
    <xf numFmtId="0" fontId="45" fillId="0" borderId="94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0" fontId="45" fillId="0" borderId="95" xfId="62" applyFont="1" applyBorder="1" applyAlignment="1">
      <alignment horizontal="center" vertical="center"/>
      <protection/>
    </xf>
    <xf numFmtId="0" fontId="45" fillId="0" borderId="70" xfId="62" applyFont="1" applyBorder="1" applyAlignment="1">
      <alignment horizontal="center" vertical="center"/>
      <protection/>
    </xf>
    <xf numFmtId="0" fontId="45" fillId="0" borderId="96" xfId="62" applyFont="1" applyBorder="1" applyAlignment="1">
      <alignment horizontal="center" vertical="center"/>
      <protection/>
    </xf>
    <xf numFmtId="0" fontId="45" fillId="0" borderId="15" xfId="62" applyFont="1" applyBorder="1" applyAlignment="1">
      <alignment horizontal="center" vertical="center"/>
      <protection/>
    </xf>
    <xf numFmtId="0" fontId="45" fillId="0" borderId="82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97" xfId="61" applyFont="1" applyBorder="1" applyAlignment="1">
      <alignment horizontal="center" vertical="center"/>
      <protection/>
    </xf>
    <xf numFmtId="0" fontId="45" fillId="0" borderId="33" xfId="61" applyFont="1" applyBorder="1" applyAlignment="1">
      <alignment horizontal="center" vertical="center"/>
      <protection/>
    </xf>
    <xf numFmtId="0" fontId="45" fillId="0" borderId="52" xfId="61" applyFont="1" applyBorder="1" applyAlignment="1">
      <alignment horizontal="center" vertical="center"/>
      <protection/>
    </xf>
    <xf numFmtId="0" fontId="45" fillId="0" borderId="77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21" xfId="61" applyFont="1" applyBorder="1" applyAlignment="1">
      <alignment horizontal="center" vertical="center"/>
      <protection/>
    </xf>
    <xf numFmtId="0" fontId="45" fillId="0" borderId="58" xfId="61" applyFont="1" applyBorder="1">
      <alignment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22" xfId="61" applyFont="1" applyBorder="1" applyAlignment="1">
      <alignment horizontal="center" vertical="center"/>
      <protection/>
    </xf>
    <xf numFmtId="0" fontId="45" fillId="0" borderId="85" xfId="61" applyFont="1" applyBorder="1" applyAlignment="1">
      <alignment horizontal="center" vertical="center"/>
      <protection/>
    </xf>
    <xf numFmtId="0" fontId="47" fillId="0" borderId="22" xfId="61" applyFont="1" applyBorder="1" applyAlignment="1">
      <alignment horizontal="center" vertical="center"/>
      <protection/>
    </xf>
    <xf numFmtId="0" fontId="45" fillId="0" borderId="48" xfId="61" applyFont="1" applyBorder="1" applyAlignment="1">
      <alignment horizontal="center" vertical="center"/>
      <protection/>
    </xf>
    <xf numFmtId="0" fontId="45" fillId="0" borderId="94" xfId="61" applyFont="1" applyBorder="1" applyAlignment="1">
      <alignment horizontal="center" vertical="center"/>
      <protection/>
    </xf>
    <xf numFmtId="0" fontId="45" fillId="0" borderId="44" xfId="61" applyFont="1" applyBorder="1" applyAlignment="1">
      <alignment horizontal="center" vertical="center"/>
      <protection/>
    </xf>
    <xf numFmtId="0" fontId="45" fillId="0" borderId="47" xfId="61" applyFont="1" applyBorder="1" applyAlignment="1">
      <alignment horizontal="center" vertical="center"/>
      <protection/>
    </xf>
    <xf numFmtId="176" fontId="45" fillId="0" borderId="15" xfId="63" applyNumberFormat="1" applyFont="1" applyBorder="1" applyAlignment="1">
      <alignment vertical="center"/>
      <protection/>
    </xf>
    <xf numFmtId="176" fontId="45" fillId="0" borderId="17" xfId="63" applyNumberFormat="1" applyFont="1" applyBorder="1" applyAlignment="1">
      <alignment vertical="center"/>
      <protection/>
    </xf>
    <xf numFmtId="41" fontId="45" fillId="0" borderId="14" xfId="63" applyNumberFormat="1" applyFont="1" applyBorder="1" applyAlignment="1">
      <alignment horizontal="right" vertical="center"/>
      <protection/>
    </xf>
    <xf numFmtId="0" fontId="45" fillId="0" borderId="63" xfId="63" applyFont="1" applyBorder="1" applyAlignment="1">
      <alignment horizontal="right" vertical="center"/>
      <protection/>
    </xf>
    <xf numFmtId="176" fontId="45" fillId="0" borderId="20" xfId="63" applyNumberFormat="1" applyFont="1" applyBorder="1" applyAlignment="1">
      <alignment vertical="center"/>
      <protection/>
    </xf>
    <xf numFmtId="176" fontId="45" fillId="0" borderId="51" xfId="63" applyNumberFormat="1" applyFont="1" applyBorder="1" applyAlignment="1">
      <alignment vertical="center"/>
      <protection/>
    </xf>
    <xf numFmtId="176" fontId="45" fillId="0" borderId="33" xfId="63" applyNumberFormat="1" applyFont="1" applyBorder="1" applyAlignment="1">
      <alignment vertical="center"/>
      <protection/>
    </xf>
    <xf numFmtId="0" fontId="45" fillId="0" borderId="87" xfId="63" applyFont="1" applyBorder="1" applyAlignment="1">
      <alignment vertical="center"/>
      <protection/>
    </xf>
    <xf numFmtId="0" fontId="45" fillId="0" borderId="44" xfId="63" applyFont="1" applyBorder="1" applyAlignment="1">
      <alignment horizontal="center" vertical="center"/>
      <protection/>
    </xf>
    <xf numFmtId="0" fontId="45" fillId="0" borderId="48" xfId="63" applyFont="1" applyBorder="1" applyAlignment="1">
      <alignment horizontal="center" vertical="center"/>
      <protection/>
    </xf>
    <xf numFmtId="0" fontId="45" fillId="0" borderId="47" xfId="63" applyFont="1" applyBorder="1" applyAlignment="1">
      <alignment horizontal="center" vertical="center"/>
      <protection/>
    </xf>
    <xf numFmtId="0" fontId="45" fillId="0" borderId="57" xfId="63" applyFont="1" applyBorder="1" applyAlignment="1">
      <alignment horizontal="center" vertical="center"/>
      <protection/>
    </xf>
    <xf numFmtId="176" fontId="45" fillId="0" borderId="48" xfId="63" applyNumberFormat="1" applyFont="1" applyBorder="1" applyAlignment="1">
      <alignment vertical="center"/>
      <protection/>
    </xf>
    <xf numFmtId="176" fontId="45" fillId="0" borderId="57" xfId="63" applyNumberFormat="1" applyFont="1" applyBorder="1" applyAlignment="1">
      <alignment vertical="center"/>
      <protection/>
    </xf>
    <xf numFmtId="0" fontId="45" fillId="0" borderId="82" xfId="63" applyFont="1" applyBorder="1" applyAlignment="1">
      <alignment horizontal="center" vertical="center"/>
      <protection/>
    </xf>
    <xf numFmtId="0" fontId="45" fillId="0" borderId="13" xfId="63" applyFont="1" applyBorder="1" applyAlignment="1">
      <alignment horizontal="center" vertical="center"/>
      <protection/>
    </xf>
    <xf numFmtId="0" fontId="45" fillId="0" borderId="52" xfId="63" applyFont="1" applyBorder="1" applyAlignment="1">
      <alignment horizontal="center" vertical="center"/>
      <protection/>
    </xf>
    <xf numFmtId="0" fontId="45" fillId="0" borderId="97" xfId="63" applyFont="1" applyBorder="1" applyAlignment="1">
      <alignment horizontal="center" vertical="center"/>
      <protection/>
    </xf>
    <xf numFmtId="0" fontId="45" fillId="0" borderId="90" xfId="63" applyFont="1" applyBorder="1" applyAlignment="1">
      <alignment horizontal="center" vertical="center"/>
      <protection/>
    </xf>
    <xf numFmtId="0" fontId="45" fillId="0" borderId="67" xfId="63" applyFont="1" applyBorder="1" applyAlignment="1">
      <alignment horizontal="center" vertical="center"/>
      <protection/>
    </xf>
    <xf numFmtId="0" fontId="45" fillId="0" borderId="85" xfId="63" applyFont="1" applyBorder="1" applyAlignment="1">
      <alignment horizontal="center" vertical="center"/>
      <protection/>
    </xf>
    <xf numFmtId="0" fontId="45" fillId="0" borderId="80" xfId="63" applyFont="1" applyBorder="1" applyAlignment="1">
      <alignment horizontal="center" vertical="center"/>
      <protection/>
    </xf>
    <xf numFmtId="0" fontId="45" fillId="0" borderId="22" xfId="63" applyFont="1" applyBorder="1" applyAlignment="1">
      <alignment horizontal="center" vertical="center"/>
      <protection/>
    </xf>
    <xf numFmtId="0" fontId="45" fillId="0" borderId="84" xfId="64" applyFont="1" applyBorder="1" applyAlignment="1">
      <alignment horizontal="center" vertical="center" wrapText="1"/>
      <protection/>
    </xf>
    <xf numFmtId="0" fontId="45" fillId="0" borderId="13" xfId="64" applyFont="1" applyBorder="1" applyAlignment="1">
      <alignment horizontal="center" vertical="center"/>
      <protection/>
    </xf>
    <xf numFmtId="0" fontId="45" fillId="0" borderId="98" xfId="64" applyFont="1" applyBorder="1" applyAlignment="1">
      <alignment horizontal="center" vertical="center"/>
      <protection/>
    </xf>
    <xf numFmtId="0" fontId="45" fillId="0" borderId="18" xfId="64" applyFont="1" applyBorder="1" applyAlignment="1">
      <alignment horizontal="center" vertical="center" wrapText="1"/>
      <protection/>
    </xf>
    <xf numFmtId="0" fontId="45" fillId="0" borderId="18" xfId="64" applyFont="1" applyBorder="1" applyAlignment="1">
      <alignment horizontal="center" vertical="center"/>
      <protection/>
    </xf>
    <xf numFmtId="0" fontId="45" fillId="0" borderId="13" xfId="64" applyFont="1" applyBorder="1" applyAlignment="1">
      <alignment horizontal="center" vertical="center" wrapText="1"/>
      <protection/>
    </xf>
    <xf numFmtId="0" fontId="45" fillId="0" borderId="98" xfId="64" applyFont="1" applyBorder="1" applyAlignment="1">
      <alignment horizontal="center" vertical="center" wrapText="1"/>
      <protection/>
    </xf>
    <xf numFmtId="0" fontId="45" fillId="0" borderId="97" xfId="64" applyFont="1" applyBorder="1" applyAlignment="1">
      <alignment horizontal="center" vertical="center" wrapText="1"/>
      <protection/>
    </xf>
    <xf numFmtId="0" fontId="45" fillId="0" borderId="28" xfId="64" applyFont="1" applyBorder="1" applyAlignment="1">
      <alignment horizontal="center" vertical="center" wrapText="1"/>
      <protection/>
    </xf>
    <xf numFmtId="0" fontId="45" fillId="0" borderId="24" xfId="64" applyFont="1" applyBorder="1" applyAlignment="1">
      <alignment horizontal="center" vertical="center"/>
      <protection/>
    </xf>
    <xf numFmtId="0" fontId="45" fillId="0" borderId="46" xfId="61" applyFont="1" applyBorder="1" applyAlignment="1">
      <alignment horizontal="center" vertical="center"/>
      <protection/>
    </xf>
    <xf numFmtId="0" fontId="45" fillId="0" borderId="45" xfId="61" applyFont="1" applyBorder="1" applyAlignment="1">
      <alignment horizontal="center" vertical="center"/>
      <protection/>
    </xf>
    <xf numFmtId="0" fontId="45" fillId="0" borderId="99" xfId="61" applyFont="1" applyBorder="1" applyAlignment="1">
      <alignment horizontal="center" vertical="center"/>
      <protection/>
    </xf>
    <xf numFmtId="0" fontId="45" fillId="0" borderId="68" xfId="61" applyFont="1" applyBorder="1" applyAlignment="1">
      <alignment horizontal="center" vertical="center"/>
      <protection/>
    </xf>
    <xf numFmtId="0" fontId="45" fillId="0" borderId="96" xfId="61" applyFont="1" applyBorder="1" applyAlignment="1">
      <alignment horizontal="center" vertical="center"/>
      <protection/>
    </xf>
    <xf numFmtId="0" fontId="45" fillId="0" borderId="24" xfId="61" applyFont="1" applyBorder="1" applyAlignment="1">
      <alignment horizontal="center" vertical="center"/>
      <protection/>
    </xf>
    <xf numFmtId="0" fontId="45" fillId="0" borderId="100" xfId="61" applyFont="1" applyBorder="1" applyAlignment="1">
      <alignment horizontal="center" vertical="center"/>
      <protection/>
    </xf>
    <xf numFmtId="0" fontId="45" fillId="0" borderId="46" xfId="65" applyFont="1" applyBorder="1" applyAlignment="1">
      <alignment horizontal="center"/>
      <protection/>
    </xf>
    <xf numFmtId="0" fontId="45" fillId="0" borderId="45" xfId="65" applyFont="1" applyBorder="1" applyAlignment="1">
      <alignment horizontal="center"/>
      <protection/>
    </xf>
    <xf numFmtId="0" fontId="45" fillId="0" borderId="99" xfId="65" applyFont="1" applyBorder="1" applyAlignment="1">
      <alignment horizontal="center"/>
      <protection/>
    </xf>
    <xf numFmtId="0" fontId="45" fillId="0" borderId="82" xfId="65" applyFont="1" applyBorder="1" applyAlignment="1">
      <alignment vertical="center"/>
      <protection/>
    </xf>
    <xf numFmtId="0" fontId="45" fillId="0" borderId="13" xfId="65" applyFont="1" applyBorder="1" applyAlignment="1">
      <alignment vertical="center"/>
      <protection/>
    </xf>
    <xf numFmtId="0" fontId="45" fillId="0" borderId="52" xfId="65" applyFont="1" applyBorder="1" applyAlignment="1">
      <alignment vertical="center"/>
      <protection/>
    </xf>
    <xf numFmtId="0" fontId="45" fillId="0" borderId="13" xfId="65" applyFont="1" applyBorder="1" applyAlignment="1">
      <alignment horizontal="center" vertical="center" wrapText="1"/>
      <protection/>
    </xf>
    <xf numFmtId="0" fontId="45" fillId="0" borderId="80" xfId="65" applyFont="1" applyBorder="1" applyAlignment="1">
      <alignment horizontal="center" vertical="center"/>
      <protection/>
    </xf>
    <xf numFmtId="0" fontId="45" fillId="0" borderId="53" xfId="65" applyFont="1" applyBorder="1" applyAlignment="1">
      <alignment horizontal="center" vertical="center"/>
      <protection/>
    </xf>
    <xf numFmtId="0" fontId="45" fillId="0" borderId="92" xfId="65" applyFont="1" applyBorder="1" applyAlignment="1">
      <alignment horizontal="center" vertical="center"/>
      <protection/>
    </xf>
    <xf numFmtId="0" fontId="45" fillId="0" borderId="61" xfId="65" applyFont="1" applyBorder="1" applyAlignment="1">
      <alignment horizontal="center" vertical="center"/>
      <protection/>
    </xf>
    <xf numFmtId="0" fontId="45" fillId="0" borderId="91" xfId="65" applyFont="1" applyBorder="1" applyAlignment="1">
      <alignment horizontal="center"/>
      <protection/>
    </xf>
    <xf numFmtId="0" fontId="45" fillId="0" borderId="44" xfId="65" applyFont="1" applyBorder="1" applyAlignment="1">
      <alignment horizontal="center" vertical="center"/>
      <protection/>
    </xf>
    <xf numFmtId="0" fontId="45" fillId="0" borderId="46" xfId="65" applyFont="1" applyBorder="1" applyAlignment="1">
      <alignment horizontal="center" vertical="center"/>
      <protection/>
    </xf>
    <xf numFmtId="0" fontId="45" fillId="0" borderId="91" xfId="65" applyFont="1" applyBorder="1" applyAlignment="1">
      <alignment horizontal="center" vertical="center"/>
      <protection/>
    </xf>
    <xf numFmtId="0" fontId="45" fillId="0" borderId="68" xfId="65" applyFont="1" applyBorder="1" applyAlignment="1">
      <alignment horizontal="center" vertical="center"/>
      <protection/>
    </xf>
    <xf numFmtId="0" fontId="45" fillId="0" borderId="96" xfId="65" applyFont="1" applyBorder="1" applyAlignment="1">
      <alignment horizontal="center" vertical="center"/>
      <protection/>
    </xf>
    <xf numFmtId="0" fontId="45" fillId="0" borderId="59" xfId="65" applyFont="1" applyBorder="1" applyAlignment="1">
      <alignment horizontal="center" vertical="center"/>
      <protection/>
    </xf>
    <xf numFmtId="0" fontId="45" fillId="0" borderId="60" xfId="65" applyFont="1" applyBorder="1" applyAlignment="1">
      <alignment horizontal="center" vertical="center"/>
      <protection/>
    </xf>
    <xf numFmtId="0" fontId="45" fillId="0" borderId="82" xfId="66" applyFont="1" applyBorder="1" applyAlignment="1">
      <alignment horizontal="center" vertical="center"/>
      <protection/>
    </xf>
    <xf numFmtId="0" fontId="45" fillId="0" borderId="13" xfId="66" applyFont="1" applyBorder="1" applyAlignment="1">
      <alignment horizontal="center" vertical="center"/>
      <protection/>
    </xf>
    <xf numFmtId="0" fontId="45" fillId="0" borderId="97" xfId="66" applyFont="1" applyBorder="1" applyAlignment="1">
      <alignment horizontal="center" vertical="center"/>
      <protection/>
    </xf>
    <xf numFmtId="0" fontId="45" fillId="0" borderId="52" xfId="66" applyFont="1" applyBorder="1" applyAlignment="1">
      <alignment horizontal="center" vertical="center"/>
      <protection/>
    </xf>
    <xf numFmtId="0" fontId="45" fillId="0" borderId="68" xfId="66" applyFont="1" applyBorder="1" applyAlignment="1">
      <alignment horizontal="center" vertical="center"/>
      <protection/>
    </xf>
    <xf numFmtId="0" fontId="45" fillId="0" borderId="59" xfId="66" applyFont="1" applyBorder="1" applyAlignment="1">
      <alignment horizontal="center" vertical="center"/>
      <protection/>
    </xf>
    <xf numFmtId="0" fontId="45" fillId="0" borderId="56" xfId="66" applyFont="1" applyBorder="1" applyAlignment="1">
      <alignment horizontal="center" vertical="center"/>
      <protection/>
    </xf>
    <xf numFmtId="0" fontId="45" fillId="0" borderId="20" xfId="66" applyFont="1" applyBorder="1" applyAlignment="1">
      <alignment horizontal="center" vertical="center"/>
      <protection/>
    </xf>
    <xf numFmtId="0" fontId="45" fillId="0" borderId="96" xfId="66" applyFont="1" applyBorder="1" applyAlignment="1">
      <alignment horizontal="center" vertical="center"/>
      <protection/>
    </xf>
    <xf numFmtId="0" fontId="45" fillId="0" borderId="60" xfId="66" applyFont="1" applyBorder="1" applyAlignment="1">
      <alignment horizontal="center" vertical="center"/>
      <protection/>
    </xf>
    <xf numFmtId="0" fontId="45" fillId="0" borderId="44" xfId="66" applyFont="1" applyBorder="1" applyAlignment="1">
      <alignment horizontal="center" vertical="center"/>
      <protection/>
    </xf>
    <xf numFmtId="0" fontId="45" fillId="0" borderId="47" xfId="66" applyFont="1" applyBorder="1" applyAlignment="1">
      <alignment horizontal="center" vertical="center"/>
      <protection/>
    </xf>
    <xf numFmtId="41" fontId="45" fillId="0" borderId="21" xfId="61" applyNumberFormat="1" applyFont="1" applyBorder="1" applyAlignment="1">
      <alignment horizontal="right" vertical="center"/>
      <protection/>
    </xf>
    <xf numFmtId="41" fontId="45" fillId="0" borderId="53" xfId="61" applyNumberFormat="1" applyFont="1" applyBorder="1" applyAlignment="1">
      <alignment horizontal="right" vertical="center"/>
      <protection/>
    </xf>
    <xf numFmtId="41" fontId="45" fillId="0" borderId="21" xfId="61" applyNumberFormat="1" applyFont="1" applyBorder="1" applyAlignment="1">
      <alignment horizontal="center" vertical="center"/>
      <protection/>
    </xf>
    <xf numFmtId="41" fontId="45" fillId="0" borderId="53" xfId="61" applyNumberFormat="1" applyFont="1" applyBorder="1" applyAlignment="1">
      <alignment horizontal="center" vertical="center"/>
      <protection/>
    </xf>
    <xf numFmtId="0" fontId="45" fillId="0" borderId="101" xfId="61" applyFont="1" applyBorder="1" applyAlignment="1">
      <alignment horizontal="center" vertical="center"/>
      <protection/>
    </xf>
    <xf numFmtId="0" fontId="45" fillId="0" borderId="56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43" xfId="61" applyFont="1" applyBorder="1" applyAlignment="1">
      <alignment horizontal="center" vertical="center"/>
      <protection/>
    </xf>
    <xf numFmtId="0" fontId="45" fillId="0" borderId="14" xfId="61" applyFont="1" applyBorder="1" applyAlignment="1">
      <alignment horizontal="center" vertical="center"/>
      <protection/>
    </xf>
    <xf numFmtId="0" fontId="45" fillId="0" borderId="50" xfId="61" applyFont="1" applyBorder="1" applyAlignment="1">
      <alignment horizontal="center" vertical="center"/>
      <protection/>
    </xf>
    <xf numFmtId="41" fontId="45" fillId="0" borderId="77" xfId="61" applyNumberFormat="1" applyFont="1" applyBorder="1" applyAlignment="1">
      <alignment horizontal="right" vertical="center"/>
      <protection/>
    </xf>
    <xf numFmtId="41" fontId="45" fillId="0" borderId="58" xfId="61" applyNumberFormat="1" applyFont="1" applyBorder="1" applyAlignment="1">
      <alignment horizontal="right" vertical="center"/>
      <protection/>
    </xf>
    <xf numFmtId="0" fontId="45" fillId="0" borderId="56" xfId="61" applyFont="1" applyBorder="1" applyAlignment="1">
      <alignment horizontal="center" vertical="center" wrapText="1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51" xfId="6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統計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0.50390625" style="1" customWidth="1"/>
    <col min="2" max="2" width="15.25390625" style="1" customWidth="1"/>
    <col min="3" max="14" width="11.125" style="1" hidden="1" customWidth="1"/>
    <col min="15" max="16" width="11.25390625" style="1" hidden="1" customWidth="1"/>
    <col min="17" max="21" width="11.25390625" style="1" customWidth="1"/>
    <col min="22" max="22" width="11.375" style="1" customWidth="1"/>
    <col min="23" max="16384" width="9.00390625" style="1" customWidth="1"/>
  </cols>
  <sheetData>
    <row r="1" spans="1:21" ht="27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7" customHeigh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" customHeight="1" thickBot="1">
      <c r="A3" s="6"/>
      <c r="B3" s="5"/>
      <c r="C3" s="7"/>
      <c r="D3" s="7"/>
      <c r="E3" s="7"/>
      <c r="F3" s="7"/>
      <c r="G3" s="8"/>
      <c r="H3" s="8"/>
      <c r="I3" s="8"/>
      <c r="J3" s="8"/>
      <c r="K3" s="5"/>
      <c r="L3" s="8"/>
      <c r="M3" s="8"/>
      <c r="N3" s="8"/>
      <c r="O3" s="7"/>
      <c r="P3" s="7"/>
      <c r="Q3" s="7"/>
      <c r="R3" s="7"/>
      <c r="S3" s="7"/>
      <c r="T3" s="7"/>
      <c r="U3" s="7" t="s">
        <v>17</v>
      </c>
    </row>
    <row r="4" spans="1:21" ht="22.5" customHeight="1">
      <c r="A4" s="610" t="s">
        <v>13</v>
      </c>
      <c r="B4" s="611"/>
      <c r="C4" s="9" t="s">
        <v>36</v>
      </c>
      <c r="D4" s="10" t="s">
        <v>15</v>
      </c>
      <c r="E4" s="10" t="s">
        <v>37</v>
      </c>
      <c r="F4" s="10" t="s">
        <v>38</v>
      </c>
      <c r="G4" s="11" t="s">
        <v>39</v>
      </c>
      <c r="H4" s="11" t="s">
        <v>40</v>
      </c>
      <c r="I4" s="11" t="s">
        <v>41</v>
      </c>
      <c r="J4" s="12" t="s">
        <v>42</v>
      </c>
      <c r="K4" s="11" t="s">
        <v>16</v>
      </c>
      <c r="L4" s="11" t="s">
        <v>19</v>
      </c>
      <c r="M4" s="12" t="s">
        <v>43</v>
      </c>
      <c r="N4" s="12" t="s">
        <v>20</v>
      </c>
      <c r="O4" s="9" t="s">
        <v>22</v>
      </c>
      <c r="P4" s="9" t="s">
        <v>44</v>
      </c>
      <c r="Q4" s="9" t="s">
        <v>45</v>
      </c>
      <c r="R4" s="9" t="s">
        <v>28</v>
      </c>
      <c r="S4" s="9" t="s">
        <v>26</v>
      </c>
      <c r="T4" s="12" t="s">
        <v>31</v>
      </c>
      <c r="U4" s="13" t="s">
        <v>34</v>
      </c>
    </row>
    <row r="5" spans="1:21" ht="22.5" customHeight="1">
      <c r="A5" s="14"/>
      <c r="B5" s="15" t="s">
        <v>0</v>
      </c>
      <c r="C5" s="16">
        <v>36796</v>
      </c>
      <c r="D5" s="17">
        <v>36843</v>
      </c>
      <c r="E5" s="17">
        <v>38029</v>
      </c>
      <c r="F5" s="17">
        <v>34663</v>
      </c>
      <c r="G5" s="18">
        <v>34440</v>
      </c>
      <c r="H5" s="19">
        <v>34372</v>
      </c>
      <c r="I5" s="18">
        <v>34387</v>
      </c>
      <c r="J5" s="20">
        <v>34264</v>
      </c>
      <c r="K5" s="18">
        <v>34225</v>
      </c>
      <c r="L5" s="18">
        <v>34149</v>
      </c>
      <c r="M5" s="19">
        <v>34163</v>
      </c>
      <c r="N5" s="19">
        <v>33961</v>
      </c>
      <c r="O5" s="21">
        <v>33806</v>
      </c>
      <c r="P5" s="16">
        <v>33648</v>
      </c>
      <c r="Q5" s="16">
        <v>33309</v>
      </c>
      <c r="R5" s="16">
        <v>33083</v>
      </c>
      <c r="S5" s="16">
        <v>32801</v>
      </c>
      <c r="T5" s="20">
        <v>32667</v>
      </c>
      <c r="U5" s="22">
        <v>32196</v>
      </c>
    </row>
    <row r="6" spans="1:21" ht="22.5" customHeight="1">
      <c r="A6" s="23"/>
      <c r="B6" s="15" t="s">
        <v>1</v>
      </c>
      <c r="C6" s="17">
        <v>34129</v>
      </c>
      <c r="D6" s="17">
        <v>34239</v>
      </c>
      <c r="E6" s="17">
        <v>35229</v>
      </c>
      <c r="F6" s="17">
        <v>33425</v>
      </c>
      <c r="G6" s="18">
        <v>33267</v>
      </c>
      <c r="H6" s="18">
        <v>33059</v>
      </c>
      <c r="I6" s="18">
        <v>32834</v>
      </c>
      <c r="J6" s="20">
        <v>32654</v>
      </c>
      <c r="K6" s="18">
        <v>32453</v>
      </c>
      <c r="L6" s="18">
        <v>32333</v>
      </c>
      <c r="M6" s="18">
        <v>32194</v>
      </c>
      <c r="N6" s="18">
        <v>32061</v>
      </c>
      <c r="O6" s="17">
        <v>31837</v>
      </c>
      <c r="P6" s="16">
        <v>31579</v>
      </c>
      <c r="Q6" s="16">
        <v>31291</v>
      </c>
      <c r="R6" s="16">
        <v>31012</v>
      </c>
      <c r="S6" s="16">
        <v>30716</v>
      </c>
      <c r="T6" s="20">
        <v>30382</v>
      </c>
      <c r="U6" s="22">
        <v>30126</v>
      </c>
    </row>
    <row r="7" spans="1:21" ht="22.5" customHeight="1">
      <c r="A7" s="23" t="s">
        <v>12</v>
      </c>
      <c r="B7" s="15" t="s">
        <v>2</v>
      </c>
      <c r="C7" s="16">
        <v>73528</v>
      </c>
      <c r="D7" s="17">
        <v>74898</v>
      </c>
      <c r="E7" s="17">
        <v>78191</v>
      </c>
      <c r="F7" s="17">
        <v>84265</v>
      </c>
      <c r="G7" s="18">
        <v>85786</v>
      </c>
      <c r="H7" s="18">
        <v>86927</v>
      </c>
      <c r="I7" s="18">
        <v>87926</v>
      </c>
      <c r="J7" s="20">
        <v>88887</v>
      </c>
      <c r="K7" s="18">
        <v>89821</v>
      </c>
      <c r="L7" s="18">
        <v>90919</v>
      </c>
      <c r="M7" s="18">
        <v>91946</v>
      </c>
      <c r="N7" s="18">
        <v>93082</v>
      </c>
      <c r="O7" s="17">
        <v>94089</v>
      </c>
      <c r="P7" s="16">
        <v>95252</v>
      </c>
      <c r="Q7" s="16">
        <v>96524</v>
      </c>
      <c r="R7" s="16">
        <v>97240</v>
      </c>
      <c r="S7" s="16">
        <v>98399</v>
      </c>
      <c r="T7" s="20">
        <v>99736</v>
      </c>
      <c r="U7" s="22">
        <v>100955</v>
      </c>
    </row>
    <row r="8" spans="1:38" ht="22.5" customHeight="1">
      <c r="A8" s="23"/>
      <c r="B8" s="24" t="s">
        <v>14</v>
      </c>
      <c r="C8" s="25">
        <v>1942</v>
      </c>
      <c r="D8" s="26">
        <v>1922</v>
      </c>
      <c r="E8" s="26">
        <v>1994</v>
      </c>
      <c r="F8" s="26">
        <v>1990</v>
      </c>
      <c r="G8" s="27">
        <v>1825</v>
      </c>
      <c r="H8" s="27">
        <v>1817</v>
      </c>
      <c r="I8" s="27">
        <v>1805</v>
      </c>
      <c r="J8" s="28">
        <v>1751</v>
      </c>
      <c r="K8" s="27">
        <v>1743</v>
      </c>
      <c r="L8" s="27">
        <v>1725</v>
      </c>
      <c r="M8" s="27">
        <v>1731</v>
      </c>
      <c r="N8" s="27">
        <v>1726</v>
      </c>
      <c r="O8" s="26">
        <v>1735</v>
      </c>
      <c r="P8" s="16">
        <v>1785</v>
      </c>
      <c r="Q8" s="16">
        <v>1833</v>
      </c>
      <c r="R8" s="16">
        <v>1839</v>
      </c>
      <c r="S8" s="16">
        <v>1871</v>
      </c>
      <c r="T8" s="20">
        <v>1713</v>
      </c>
      <c r="U8" s="22">
        <v>1976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2.5" customHeight="1">
      <c r="A9" s="23"/>
      <c r="B9" s="29" t="s">
        <v>3</v>
      </c>
      <c r="C9" s="30">
        <f aca="true" t="shared" si="0" ref="C9:I9">SUM(C5:C8)</f>
        <v>146395</v>
      </c>
      <c r="D9" s="31">
        <f t="shared" si="0"/>
        <v>147902</v>
      </c>
      <c r="E9" s="31">
        <f t="shared" si="0"/>
        <v>153443</v>
      </c>
      <c r="F9" s="31">
        <f t="shared" si="0"/>
        <v>154343</v>
      </c>
      <c r="G9" s="32">
        <f t="shared" si="0"/>
        <v>155318</v>
      </c>
      <c r="H9" s="32">
        <f t="shared" si="0"/>
        <v>156175</v>
      </c>
      <c r="I9" s="32">
        <f t="shared" si="0"/>
        <v>156952</v>
      </c>
      <c r="J9" s="33">
        <f>SUM(J5:J8)</f>
        <v>157556</v>
      </c>
      <c r="K9" s="32">
        <v>158242</v>
      </c>
      <c r="L9" s="32">
        <v>159126</v>
      </c>
      <c r="M9" s="33">
        <v>160034</v>
      </c>
      <c r="N9" s="33">
        <v>160830</v>
      </c>
      <c r="O9" s="30">
        <f aca="true" t="shared" si="1" ref="O9:T9">SUM(O5:O8)</f>
        <v>161467</v>
      </c>
      <c r="P9" s="30">
        <f t="shared" si="1"/>
        <v>162264</v>
      </c>
      <c r="Q9" s="30">
        <f t="shared" si="1"/>
        <v>162957</v>
      </c>
      <c r="R9" s="30">
        <f t="shared" si="1"/>
        <v>163174</v>
      </c>
      <c r="S9" s="30">
        <f t="shared" si="1"/>
        <v>163787</v>
      </c>
      <c r="T9" s="30">
        <f t="shared" si="1"/>
        <v>164498</v>
      </c>
      <c r="U9" s="34">
        <f>SUM(U5:U8)</f>
        <v>165253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2.5" customHeight="1">
      <c r="A10" s="35"/>
      <c r="B10" s="36" t="s">
        <v>4</v>
      </c>
      <c r="C10" s="37">
        <v>100.7</v>
      </c>
      <c r="D10" s="38">
        <f aca="true" t="shared" si="2" ref="D10:I10">ROUND((D9/C9)*100,1)</f>
        <v>101</v>
      </c>
      <c r="E10" s="38">
        <f t="shared" si="2"/>
        <v>103.7</v>
      </c>
      <c r="F10" s="38">
        <f>ROUND((F9/E9)*100,1)</f>
        <v>100.6</v>
      </c>
      <c r="G10" s="39">
        <f t="shared" si="2"/>
        <v>100.6</v>
      </c>
      <c r="H10" s="39">
        <f t="shared" si="2"/>
        <v>100.6</v>
      </c>
      <c r="I10" s="39">
        <f t="shared" si="2"/>
        <v>100.5</v>
      </c>
      <c r="J10" s="40">
        <f aca="true" t="shared" si="3" ref="J10:P10">ROUND((J9/I9)*100,1)</f>
        <v>100.4</v>
      </c>
      <c r="K10" s="39">
        <f t="shared" si="3"/>
        <v>100.4</v>
      </c>
      <c r="L10" s="39">
        <f t="shared" si="3"/>
        <v>100.6</v>
      </c>
      <c r="M10" s="40">
        <f t="shared" si="3"/>
        <v>100.6</v>
      </c>
      <c r="N10" s="40">
        <f t="shared" si="3"/>
        <v>100.5</v>
      </c>
      <c r="O10" s="41">
        <f t="shared" si="3"/>
        <v>100.4</v>
      </c>
      <c r="P10" s="41">
        <f t="shared" si="3"/>
        <v>100.5</v>
      </c>
      <c r="Q10" s="41">
        <f>ROUND((Q9/P9)*100,1)</f>
        <v>100.4</v>
      </c>
      <c r="R10" s="41">
        <f>ROUND((R9/Q9)*100,1)</f>
        <v>100.1</v>
      </c>
      <c r="S10" s="41">
        <f>ROUND((S9/R9)*100,1)</f>
        <v>100.4</v>
      </c>
      <c r="T10" s="41">
        <f>ROUND((T9/S9)*100,1)</f>
        <v>100.4</v>
      </c>
      <c r="U10" s="42">
        <f>ROUND((U9/T9)*100,1)</f>
        <v>100.5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2.5" customHeight="1">
      <c r="A11" s="43"/>
      <c r="B11" s="44" t="s">
        <v>0</v>
      </c>
      <c r="C11" s="45">
        <v>33629</v>
      </c>
      <c r="D11" s="21">
        <v>33719</v>
      </c>
      <c r="E11" s="21">
        <v>33070</v>
      </c>
      <c r="F11" s="21">
        <v>30419</v>
      </c>
      <c r="G11" s="19">
        <v>30233</v>
      </c>
      <c r="H11" s="19">
        <v>30192</v>
      </c>
      <c r="I11" s="19">
        <v>30216</v>
      </c>
      <c r="J11" s="46">
        <v>31136</v>
      </c>
      <c r="K11" s="19">
        <v>31118</v>
      </c>
      <c r="L11" s="19">
        <v>31051</v>
      </c>
      <c r="M11" s="19">
        <v>31074</v>
      </c>
      <c r="N11" s="19">
        <v>30890</v>
      </c>
      <c r="O11" s="47">
        <v>30793</v>
      </c>
      <c r="P11" s="16">
        <v>30658</v>
      </c>
      <c r="Q11" s="16">
        <v>30385</v>
      </c>
      <c r="R11" s="16">
        <v>30220</v>
      </c>
      <c r="S11" s="16">
        <v>29978</v>
      </c>
      <c r="T11" s="20">
        <v>29818</v>
      </c>
      <c r="U11" s="22">
        <v>29428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2.5" customHeight="1">
      <c r="A12" s="23"/>
      <c r="B12" s="48" t="s">
        <v>1</v>
      </c>
      <c r="C12" s="16">
        <v>31240</v>
      </c>
      <c r="D12" s="17">
        <v>31408</v>
      </c>
      <c r="E12" s="17">
        <v>30647</v>
      </c>
      <c r="F12" s="17">
        <v>30087</v>
      </c>
      <c r="G12" s="18">
        <v>29976</v>
      </c>
      <c r="H12" s="18">
        <v>29772</v>
      </c>
      <c r="I12" s="18">
        <v>29559</v>
      </c>
      <c r="J12" s="20">
        <v>30324</v>
      </c>
      <c r="K12" s="18">
        <v>30163</v>
      </c>
      <c r="L12" s="18">
        <v>30056</v>
      </c>
      <c r="M12" s="18">
        <v>29931</v>
      </c>
      <c r="N12" s="18">
        <v>29788</v>
      </c>
      <c r="O12" s="47">
        <v>29586</v>
      </c>
      <c r="P12" s="16">
        <v>29358</v>
      </c>
      <c r="Q12" s="16">
        <v>29096</v>
      </c>
      <c r="R12" s="16">
        <v>28870</v>
      </c>
      <c r="S12" s="16">
        <v>28609</v>
      </c>
      <c r="T12" s="20">
        <v>28208</v>
      </c>
      <c r="U12" s="22">
        <v>28097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2.5" customHeight="1">
      <c r="A13" s="23" t="s">
        <v>10</v>
      </c>
      <c r="B13" s="49" t="s">
        <v>11</v>
      </c>
      <c r="C13" s="26">
        <v>66020</v>
      </c>
      <c r="D13" s="26">
        <v>67294</v>
      </c>
      <c r="E13" s="26">
        <v>69590</v>
      </c>
      <c r="F13" s="26">
        <v>73584</v>
      </c>
      <c r="G13" s="27">
        <v>75005</v>
      </c>
      <c r="H13" s="27">
        <v>76038</v>
      </c>
      <c r="I13" s="27">
        <v>77003</v>
      </c>
      <c r="J13" s="28">
        <v>80181</v>
      </c>
      <c r="K13" s="27">
        <v>81069</v>
      </c>
      <c r="L13" s="27">
        <v>82140</v>
      </c>
      <c r="M13" s="18">
        <v>83110</v>
      </c>
      <c r="N13" s="18">
        <v>84197</v>
      </c>
      <c r="O13" s="47">
        <v>85160</v>
      </c>
      <c r="P13" s="16">
        <v>86294</v>
      </c>
      <c r="Q13" s="16">
        <v>87530</v>
      </c>
      <c r="R13" s="16">
        <v>88533</v>
      </c>
      <c r="S13" s="16">
        <v>89606</v>
      </c>
      <c r="T13" s="20">
        <v>90805</v>
      </c>
      <c r="U13" s="22">
        <v>92084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2.5" customHeight="1">
      <c r="A14" s="50"/>
      <c r="B14" s="51" t="s">
        <v>3</v>
      </c>
      <c r="C14" s="30">
        <f aca="true" t="shared" si="4" ref="C14:I14">SUM(C11:C13)</f>
        <v>130889</v>
      </c>
      <c r="D14" s="31">
        <f t="shared" si="4"/>
        <v>132421</v>
      </c>
      <c r="E14" s="31">
        <f t="shared" si="4"/>
        <v>133307</v>
      </c>
      <c r="F14" s="31">
        <f t="shared" si="4"/>
        <v>134090</v>
      </c>
      <c r="G14" s="32">
        <f t="shared" si="4"/>
        <v>135214</v>
      </c>
      <c r="H14" s="32">
        <f t="shared" si="4"/>
        <v>136002</v>
      </c>
      <c r="I14" s="32">
        <f t="shared" si="4"/>
        <v>136778</v>
      </c>
      <c r="J14" s="33">
        <f>SUM(J11:J13)</f>
        <v>141641</v>
      </c>
      <c r="K14" s="32">
        <v>142350</v>
      </c>
      <c r="L14" s="32">
        <v>143247</v>
      </c>
      <c r="M14" s="32">
        <v>144115</v>
      </c>
      <c r="N14" s="32">
        <v>144875</v>
      </c>
      <c r="O14" s="52">
        <f aca="true" t="shared" si="5" ref="O14:T14">SUM(O11:O13)</f>
        <v>145539</v>
      </c>
      <c r="P14" s="30">
        <f t="shared" si="5"/>
        <v>146310</v>
      </c>
      <c r="Q14" s="30">
        <f t="shared" si="5"/>
        <v>147011</v>
      </c>
      <c r="R14" s="30">
        <f t="shared" si="5"/>
        <v>147623</v>
      </c>
      <c r="S14" s="30">
        <f t="shared" si="5"/>
        <v>148193</v>
      </c>
      <c r="T14" s="30">
        <f t="shared" si="5"/>
        <v>148831</v>
      </c>
      <c r="U14" s="34">
        <f>SUM(U11:U13)</f>
        <v>149609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2.5" customHeight="1" thickBot="1">
      <c r="A15" s="53"/>
      <c r="B15" s="54" t="s">
        <v>4</v>
      </c>
      <c r="C15" s="55">
        <v>100.9</v>
      </c>
      <c r="D15" s="56">
        <f aca="true" t="shared" si="6" ref="D15:I15">ROUND((D14/C14)*100,1)</f>
        <v>101.2</v>
      </c>
      <c r="E15" s="56">
        <f t="shared" si="6"/>
        <v>100.7</v>
      </c>
      <c r="F15" s="56">
        <f>ROUND((F14/E14)*100,1)</f>
        <v>100.6</v>
      </c>
      <c r="G15" s="57">
        <f t="shared" si="6"/>
        <v>100.8</v>
      </c>
      <c r="H15" s="57">
        <f t="shared" si="6"/>
        <v>100.6</v>
      </c>
      <c r="I15" s="57">
        <f t="shared" si="6"/>
        <v>100.6</v>
      </c>
      <c r="J15" s="58">
        <f aca="true" t="shared" si="7" ref="J15:Q15">ROUND((J14/I14)*100,1)</f>
        <v>103.6</v>
      </c>
      <c r="K15" s="57">
        <f t="shared" si="7"/>
        <v>100.5</v>
      </c>
      <c r="L15" s="57">
        <f t="shared" si="7"/>
        <v>100.6</v>
      </c>
      <c r="M15" s="59">
        <f t="shared" si="7"/>
        <v>100.6</v>
      </c>
      <c r="N15" s="59">
        <f t="shared" si="7"/>
        <v>100.5</v>
      </c>
      <c r="O15" s="60">
        <f t="shared" si="7"/>
        <v>100.5</v>
      </c>
      <c r="P15" s="61">
        <f t="shared" si="7"/>
        <v>100.5</v>
      </c>
      <c r="Q15" s="61">
        <f t="shared" si="7"/>
        <v>100.5</v>
      </c>
      <c r="R15" s="61">
        <f>ROUND((R14/Q14)*100,1)</f>
        <v>100.4</v>
      </c>
      <c r="S15" s="61">
        <f>ROUND((S14/R14)*100,1)</f>
        <v>100.4</v>
      </c>
      <c r="T15" s="61">
        <f>ROUND((T14/S14)*100,1)</f>
        <v>100.4</v>
      </c>
      <c r="U15" s="62">
        <f>ROUND((U14/T14)*100,1)</f>
        <v>100.5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21" ht="22.5" customHeight="1">
      <c r="A16" s="5"/>
      <c r="B16" s="5"/>
      <c r="C16" s="5"/>
      <c r="D16" s="5"/>
      <c r="E16" s="5"/>
      <c r="F16" s="5"/>
      <c r="G16" s="63"/>
      <c r="H16" s="63"/>
      <c r="I16" s="63"/>
      <c r="J16" s="63"/>
      <c r="K16" s="64"/>
      <c r="L16" s="63"/>
      <c r="M16" s="63"/>
      <c r="N16" s="63"/>
      <c r="O16" s="5"/>
      <c r="P16" s="5"/>
      <c r="Q16" s="5"/>
      <c r="R16" s="5"/>
      <c r="S16" s="5"/>
      <c r="T16" s="5"/>
      <c r="U16" s="5"/>
    </row>
    <row r="17" spans="1:21" ht="22.5" customHeight="1">
      <c r="A17" s="5"/>
      <c r="B17" s="5"/>
      <c r="C17" s="5"/>
      <c r="D17" s="5"/>
      <c r="E17" s="5"/>
      <c r="F17" s="5"/>
      <c r="G17" s="63"/>
      <c r="H17" s="63"/>
      <c r="I17" s="63"/>
      <c r="J17" s="63"/>
      <c r="K17" s="65"/>
      <c r="L17" s="63"/>
      <c r="M17" s="63"/>
      <c r="N17" s="63"/>
      <c r="O17" s="5"/>
      <c r="P17" s="5"/>
      <c r="Q17" s="5"/>
      <c r="R17" s="5"/>
      <c r="S17" s="5"/>
      <c r="T17" s="5"/>
      <c r="U17" s="5"/>
    </row>
    <row r="18" spans="1:21" ht="22.5" customHeight="1">
      <c r="A18" s="5"/>
      <c r="B18" s="5"/>
      <c r="C18" s="5"/>
      <c r="D18" s="5"/>
      <c r="E18" s="5"/>
      <c r="F18" s="5"/>
      <c r="G18" s="63"/>
      <c r="H18" s="63"/>
      <c r="I18" s="63"/>
      <c r="J18" s="63"/>
      <c r="K18" s="65"/>
      <c r="L18" s="63"/>
      <c r="M18" s="63"/>
      <c r="N18" s="63"/>
      <c r="O18" s="5"/>
      <c r="P18" s="5"/>
      <c r="Q18" s="5"/>
      <c r="R18" s="5"/>
      <c r="S18" s="5"/>
      <c r="T18" s="5"/>
      <c r="U18" s="5"/>
    </row>
    <row r="19" spans="1:21" ht="22.5" customHeight="1">
      <c r="A19" s="5" t="s">
        <v>5</v>
      </c>
      <c r="B19" s="5"/>
      <c r="C19" s="5"/>
      <c r="D19" s="5"/>
      <c r="E19" s="5"/>
      <c r="F19" s="5"/>
      <c r="G19" s="63"/>
      <c r="H19" s="63"/>
      <c r="I19" s="63"/>
      <c r="J19" s="63"/>
      <c r="K19" s="65"/>
      <c r="L19" s="63"/>
      <c r="M19" s="63"/>
      <c r="N19" s="63"/>
      <c r="O19" s="5"/>
      <c r="P19" s="5"/>
      <c r="Q19" s="5"/>
      <c r="R19" s="5"/>
      <c r="S19" s="5"/>
      <c r="T19" s="5"/>
      <c r="U19" s="5"/>
    </row>
    <row r="20" spans="1:21" ht="22.5" customHeight="1" thickBot="1">
      <c r="A20" s="5"/>
      <c r="B20" s="5"/>
      <c r="C20" s="7"/>
      <c r="D20" s="7"/>
      <c r="E20" s="7"/>
      <c r="F20" s="7"/>
      <c r="G20" s="8"/>
      <c r="H20" s="8"/>
      <c r="I20" s="8"/>
      <c r="J20" s="8"/>
      <c r="K20" s="66"/>
      <c r="L20" s="8"/>
      <c r="M20" s="8"/>
      <c r="N20" s="8"/>
      <c r="O20" s="7"/>
      <c r="P20" s="7"/>
      <c r="Q20" s="7"/>
      <c r="R20" s="7"/>
      <c r="S20" s="7"/>
      <c r="T20" s="7"/>
      <c r="U20" s="7" t="s">
        <v>18</v>
      </c>
    </row>
    <row r="21" spans="1:21" ht="22.5" customHeight="1">
      <c r="A21" s="608" t="s">
        <v>13</v>
      </c>
      <c r="B21" s="609"/>
      <c r="C21" s="9" t="s">
        <v>36</v>
      </c>
      <c r="D21" s="10" t="s">
        <v>15</v>
      </c>
      <c r="E21" s="10" t="s">
        <v>37</v>
      </c>
      <c r="F21" s="10" t="s">
        <v>38</v>
      </c>
      <c r="G21" s="11" t="s">
        <v>39</v>
      </c>
      <c r="H21" s="11" t="s">
        <v>40</v>
      </c>
      <c r="I21" s="11" t="s">
        <v>41</v>
      </c>
      <c r="J21" s="12" t="s">
        <v>42</v>
      </c>
      <c r="K21" s="11" t="s">
        <v>16</v>
      </c>
      <c r="L21" s="11" t="s">
        <v>19</v>
      </c>
      <c r="M21" s="12" t="s">
        <v>21</v>
      </c>
      <c r="N21" s="12" t="s">
        <v>23</v>
      </c>
      <c r="O21" s="9" t="s">
        <v>24</v>
      </c>
      <c r="P21" s="9" t="s">
        <v>25</v>
      </c>
      <c r="Q21" s="9" t="s">
        <v>46</v>
      </c>
      <c r="R21" s="9" t="s">
        <v>29</v>
      </c>
      <c r="S21" s="9" t="s">
        <v>27</v>
      </c>
      <c r="T21" s="12" t="s">
        <v>30</v>
      </c>
      <c r="U21" s="13" t="s">
        <v>35</v>
      </c>
    </row>
    <row r="22" spans="1:21" ht="22.5" customHeight="1">
      <c r="A22" s="612" t="s">
        <v>6</v>
      </c>
      <c r="B22" s="48" t="s">
        <v>7</v>
      </c>
      <c r="C22" s="16">
        <v>109963</v>
      </c>
      <c r="D22" s="17">
        <v>111266</v>
      </c>
      <c r="E22" s="17">
        <v>115763</v>
      </c>
      <c r="F22" s="17">
        <v>116811</v>
      </c>
      <c r="G22" s="18">
        <v>118099</v>
      </c>
      <c r="H22" s="18">
        <v>119157</v>
      </c>
      <c r="I22" s="18">
        <v>120176</v>
      </c>
      <c r="J22" s="20">
        <v>120992</v>
      </c>
      <c r="K22" s="18">
        <v>121811</v>
      </c>
      <c r="L22" s="18">
        <v>122771</v>
      </c>
      <c r="M22" s="19">
        <v>116809</v>
      </c>
      <c r="N22" s="19">
        <v>117464</v>
      </c>
      <c r="O22" s="47">
        <v>118246</v>
      </c>
      <c r="P22" s="16">
        <v>119064</v>
      </c>
      <c r="Q22" s="16">
        <v>119623</v>
      </c>
      <c r="R22" s="16">
        <v>120415</v>
      </c>
      <c r="S22" s="16">
        <v>121059</v>
      </c>
      <c r="T22" s="20">
        <v>121823</v>
      </c>
      <c r="U22" s="22">
        <v>122460</v>
      </c>
    </row>
    <row r="23" spans="1:21" ht="22.5" customHeight="1">
      <c r="A23" s="612"/>
      <c r="B23" s="48" t="s">
        <v>8</v>
      </c>
      <c r="C23" s="17">
        <v>107615</v>
      </c>
      <c r="D23" s="17">
        <v>109005</v>
      </c>
      <c r="E23" s="17">
        <v>113350</v>
      </c>
      <c r="F23" s="17">
        <v>114383</v>
      </c>
      <c r="G23" s="18">
        <v>116100</v>
      </c>
      <c r="H23" s="18">
        <v>117073</v>
      </c>
      <c r="I23" s="18">
        <v>117962</v>
      </c>
      <c r="J23" s="20">
        <v>118857</v>
      </c>
      <c r="K23" s="18">
        <v>119656</v>
      </c>
      <c r="L23" s="18">
        <v>120729</v>
      </c>
      <c r="M23" s="18">
        <v>121735</v>
      </c>
      <c r="N23" s="18">
        <v>122779</v>
      </c>
      <c r="O23" s="47">
        <v>123669</v>
      </c>
      <c r="P23" s="16">
        <v>124625</v>
      </c>
      <c r="Q23" s="16">
        <v>125632</v>
      </c>
      <c r="R23" s="16">
        <v>126485</v>
      </c>
      <c r="S23" s="16">
        <v>127311</v>
      </c>
      <c r="T23" s="20">
        <v>127782</v>
      </c>
      <c r="U23" s="22">
        <v>129380</v>
      </c>
    </row>
    <row r="24" spans="1:21" ht="22.5" customHeight="1">
      <c r="A24" s="613"/>
      <c r="B24" s="67" t="s">
        <v>9</v>
      </c>
      <c r="C24" s="68">
        <v>3663</v>
      </c>
      <c r="D24" s="69">
        <v>3683</v>
      </c>
      <c r="E24" s="69">
        <v>3875</v>
      </c>
      <c r="F24" s="69">
        <v>3927</v>
      </c>
      <c r="G24" s="70">
        <v>3849</v>
      </c>
      <c r="H24" s="70">
        <v>3881</v>
      </c>
      <c r="I24" s="70">
        <v>3878</v>
      </c>
      <c r="J24" s="71">
        <v>3888</v>
      </c>
      <c r="K24" s="70">
        <v>3966</v>
      </c>
      <c r="L24" s="70">
        <v>3989</v>
      </c>
      <c r="M24" s="70">
        <v>4091</v>
      </c>
      <c r="N24" s="70">
        <v>4194</v>
      </c>
      <c r="O24" s="72">
        <v>4308</v>
      </c>
      <c r="P24" s="68">
        <v>4423</v>
      </c>
      <c r="Q24" s="68">
        <v>4587</v>
      </c>
      <c r="R24" s="68">
        <v>4734</v>
      </c>
      <c r="S24" s="68">
        <v>4927</v>
      </c>
      <c r="T24" s="71">
        <v>4557</v>
      </c>
      <c r="U24" s="73">
        <v>5211</v>
      </c>
    </row>
    <row r="25" spans="1:21" ht="22.5" customHeight="1">
      <c r="A25" s="614" t="s">
        <v>10</v>
      </c>
      <c r="B25" s="44" t="s">
        <v>7</v>
      </c>
      <c r="C25" s="45">
        <v>99649</v>
      </c>
      <c r="D25" s="21">
        <v>101013</v>
      </c>
      <c r="E25" s="21">
        <v>101996</v>
      </c>
      <c r="F25" s="21">
        <v>102921</v>
      </c>
      <c r="G25" s="19">
        <v>104148</v>
      </c>
      <c r="H25" s="19">
        <v>105143</v>
      </c>
      <c r="I25" s="19">
        <v>106153</v>
      </c>
      <c r="J25" s="46">
        <v>110202</v>
      </c>
      <c r="K25" s="19">
        <v>111039</v>
      </c>
      <c r="L25" s="19">
        <v>112011</v>
      </c>
      <c r="M25" s="18">
        <v>106105</v>
      </c>
      <c r="N25" s="18">
        <v>106742</v>
      </c>
      <c r="O25" s="47">
        <v>107539</v>
      </c>
      <c r="P25" s="16">
        <v>108356</v>
      </c>
      <c r="Q25" s="16">
        <v>109003</v>
      </c>
      <c r="R25" s="16">
        <v>109799</v>
      </c>
      <c r="S25" s="16">
        <v>110459</v>
      </c>
      <c r="T25" s="20">
        <v>111248</v>
      </c>
      <c r="U25" s="22">
        <v>111924</v>
      </c>
    </row>
    <row r="26" spans="1:21" ht="22.5" customHeight="1" thickBot="1">
      <c r="A26" s="615"/>
      <c r="B26" s="74" t="s">
        <v>8</v>
      </c>
      <c r="C26" s="75">
        <v>97260</v>
      </c>
      <c r="D26" s="76">
        <v>98702</v>
      </c>
      <c r="E26" s="76">
        <v>99710</v>
      </c>
      <c r="F26" s="76">
        <v>100662</v>
      </c>
      <c r="G26" s="77">
        <v>102218</v>
      </c>
      <c r="H26" s="77">
        <v>103115</v>
      </c>
      <c r="I26" s="77">
        <v>103964</v>
      </c>
      <c r="J26" s="78">
        <v>107941</v>
      </c>
      <c r="K26" s="77">
        <v>108761</v>
      </c>
      <c r="L26" s="77">
        <v>109813</v>
      </c>
      <c r="M26" s="77">
        <v>110769</v>
      </c>
      <c r="N26" s="77">
        <v>111772</v>
      </c>
      <c r="O26" s="79">
        <v>112643</v>
      </c>
      <c r="P26" s="75">
        <v>113609</v>
      </c>
      <c r="Q26" s="75">
        <v>114613</v>
      </c>
      <c r="R26" s="75">
        <v>115447</v>
      </c>
      <c r="S26" s="75">
        <v>116293</v>
      </c>
      <c r="T26" s="78">
        <v>116791</v>
      </c>
      <c r="U26" s="80">
        <v>118387</v>
      </c>
    </row>
    <row r="27" spans="1:11" ht="22.5" customHeight="1">
      <c r="A27" s="2"/>
      <c r="G27" s="3"/>
      <c r="H27" s="3"/>
      <c r="I27" s="3"/>
      <c r="J27" s="3"/>
      <c r="K27" s="3"/>
    </row>
    <row r="28" spans="7:11" ht="22.5" customHeight="1">
      <c r="G28" s="3"/>
      <c r="H28" s="3"/>
      <c r="I28" s="3"/>
      <c r="J28" s="3"/>
      <c r="K28" s="3"/>
    </row>
    <row r="29" spans="7:11" ht="22.5" customHeight="1">
      <c r="G29" s="3"/>
      <c r="H29" s="3"/>
      <c r="I29" s="3"/>
      <c r="J29" s="3"/>
      <c r="K29" s="3"/>
    </row>
  </sheetData>
  <sheetProtection/>
  <mergeCells count="4">
    <mergeCell ref="A21:B21"/>
    <mergeCell ref="A4:B4"/>
    <mergeCell ref="A22:A24"/>
    <mergeCell ref="A25:A26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1.125" style="372" bestFit="1" customWidth="1"/>
    <col min="2" max="2" width="15.375" style="372" bestFit="1" customWidth="1"/>
    <col min="3" max="3" width="13.625" style="372" bestFit="1" customWidth="1"/>
    <col min="4" max="4" width="15.375" style="372" bestFit="1" customWidth="1"/>
    <col min="5" max="7" width="9.125" style="372" bestFit="1" customWidth="1"/>
    <col min="8" max="16384" width="9.00390625" style="372" customWidth="1"/>
  </cols>
  <sheetData>
    <row r="1" spans="1:7" ht="17.25" customHeight="1">
      <c r="A1" s="4"/>
      <c r="B1" s="371"/>
      <c r="C1" s="371"/>
      <c r="D1" s="371"/>
      <c r="E1" s="371"/>
      <c r="F1" s="371"/>
      <c r="G1" s="371"/>
    </row>
    <row r="2" spans="1:7" ht="27" customHeight="1">
      <c r="A2" s="373" t="s">
        <v>343</v>
      </c>
      <c r="B2" s="371"/>
      <c r="C2" s="371"/>
      <c r="D2" s="371"/>
      <c r="E2" s="371"/>
      <c r="F2" s="371"/>
      <c r="G2" s="371"/>
    </row>
    <row r="3" spans="1:7" s="83" customFormat="1" ht="28.5" customHeight="1" thickBot="1">
      <c r="A3" s="82" t="s">
        <v>344</v>
      </c>
      <c r="B3" s="82"/>
      <c r="C3" s="82"/>
      <c r="D3" s="82"/>
      <c r="E3" s="82"/>
      <c r="F3" s="82"/>
      <c r="G3" s="86" t="s">
        <v>345</v>
      </c>
    </row>
    <row r="4" spans="1:7" ht="17.25" customHeight="1">
      <c r="A4" s="745" t="s">
        <v>13</v>
      </c>
      <c r="B4" s="746" t="s">
        <v>346</v>
      </c>
      <c r="C4" s="753" t="s">
        <v>347</v>
      </c>
      <c r="D4" s="746" t="s">
        <v>3</v>
      </c>
      <c r="E4" s="703" t="s">
        <v>67</v>
      </c>
      <c r="F4" s="704"/>
      <c r="G4" s="705"/>
    </row>
    <row r="5" spans="1:7" ht="17.25" customHeight="1">
      <c r="A5" s="654"/>
      <c r="B5" s="747"/>
      <c r="C5" s="747"/>
      <c r="D5" s="747"/>
      <c r="E5" s="202" t="s">
        <v>348</v>
      </c>
      <c r="F5" s="202" t="s">
        <v>348</v>
      </c>
      <c r="G5" s="754" t="s">
        <v>3</v>
      </c>
    </row>
    <row r="6" spans="1:7" ht="15.75" customHeight="1">
      <c r="A6" s="657"/>
      <c r="B6" s="662"/>
      <c r="C6" s="662"/>
      <c r="D6" s="662"/>
      <c r="E6" s="180" t="s">
        <v>349</v>
      </c>
      <c r="F6" s="183" t="s">
        <v>350</v>
      </c>
      <c r="G6" s="755"/>
    </row>
    <row r="7" spans="1:7" ht="24" customHeight="1" hidden="1">
      <c r="A7" s="585" t="s">
        <v>36</v>
      </c>
      <c r="B7" s="186">
        <v>76422</v>
      </c>
      <c r="C7" s="186">
        <v>118698</v>
      </c>
      <c r="D7" s="186">
        <f aca="true" t="shared" si="0" ref="D7:D20">B7+C7</f>
        <v>195120</v>
      </c>
      <c r="E7" s="187">
        <v>100</v>
      </c>
      <c r="F7" s="192">
        <v>100</v>
      </c>
      <c r="G7" s="188">
        <v>100</v>
      </c>
    </row>
    <row r="8" spans="1:7" ht="24" customHeight="1" hidden="1">
      <c r="A8" s="585" t="s">
        <v>86</v>
      </c>
      <c r="B8" s="107">
        <v>76460</v>
      </c>
      <c r="C8" s="107">
        <v>118660</v>
      </c>
      <c r="D8" s="107">
        <f t="shared" si="0"/>
        <v>195120</v>
      </c>
      <c r="E8" s="192">
        <f aca="true" t="shared" si="1" ref="E8:G23">ROUND((B8/B7)*100,1)</f>
        <v>100</v>
      </c>
      <c r="F8" s="192">
        <f t="shared" si="1"/>
        <v>100</v>
      </c>
      <c r="G8" s="193">
        <f>ROUND((D8/D7)*100,1)</f>
        <v>100</v>
      </c>
    </row>
    <row r="9" spans="1:7" ht="24" customHeight="1" hidden="1">
      <c r="A9" s="585" t="s">
        <v>37</v>
      </c>
      <c r="B9" s="107">
        <v>80272</v>
      </c>
      <c r="C9" s="107">
        <v>122618</v>
      </c>
      <c r="D9" s="107">
        <f t="shared" si="0"/>
        <v>202890</v>
      </c>
      <c r="E9" s="192">
        <f t="shared" si="1"/>
        <v>105</v>
      </c>
      <c r="F9" s="192">
        <f t="shared" si="1"/>
        <v>103.3</v>
      </c>
      <c r="G9" s="193">
        <f t="shared" si="1"/>
        <v>104</v>
      </c>
    </row>
    <row r="10" spans="1:7" ht="24" customHeight="1" hidden="1">
      <c r="A10" s="585" t="s">
        <v>38</v>
      </c>
      <c r="B10" s="107">
        <v>80272</v>
      </c>
      <c r="C10" s="107">
        <v>122618</v>
      </c>
      <c r="D10" s="107">
        <f t="shared" si="0"/>
        <v>202890</v>
      </c>
      <c r="E10" s="192">
        <f t="shared" si="1"/>
        <v>100</v>
      </c>
      <c r="F10" s="192">
        <f t="shared" si="1"/>
        <v>100</v>
      </c>
      <c r="G10" s="193">
        <f t="shared" si="1"/>
        <v>100</v>
      </c>
    </row>
    <row r="11" spans="1:7" ht="24" customHeight="1" hidden="1">
      <c r="A11" s="585" t="s">
        <v>39</v>
      </c>
      <c r="B11" s="107">
        <v>80272</v>
      </c>
      <c r="C11" s="107">
        <v>122618</v>
      </c>
      <c r="D11" s="107">
        <f t="shared" si="0"/>
        <v>202890</v>
      </c>
      <c r="E11" s="192">
        <f t="shared" si="1"/>
        <v>100</v>
      </c>
      <c r="F11" s="192">
        <f t="shared" si="1"/>
        <v>100</v>
      </c>
      <c r="G11" s="193">
        <f t="shared" si="1"/>
        <v>100</v>
      </c>
    </row>
    <row r="12" spans="1:7" ht="24" customHeight="1" hidden="1">
      <c r="A12" s="585" t="s">
        <v>40</v>
      </c>
      <c r="B12" s="107">
        <v>80270</v>
      </c>
      <c r="C12" s="107">
        <v>122620</v>
      </c>
      <c r="D12" s="107">
        <f t="shared" si="0"/>
        <v>202890</v>
      </c>
      <c r="E12" s="192">
        <f t="shared" si="1"/>
        <v>100</v>
      </c>
      <c r="F12" s="192">
        <f t="shared" si="1"/>
        <v>100</v>
      </c>
      <c r="G12" s="193">
        <f t="shared" si="1"/>
        <v>100</v>
      </c>
    </row>
    <row r="13" spans="1:7" ht="24" customHeight="1" hidden="1">
      <c r="A13" s="585" t="s">
        <v>41</v>
      </c>
      <c r="B13" s="107">
        <v>80270</v>
      </c>
      <c r="C13" s="107">
        <v>122620</v>
      </c>
      <c r="D13" s="107">
        <f t="shared" si="0"/>
        <v>202890</v>
      </c>
      <c r="E13" s="192">
        <f t="shared" si="1"/>
        <v>100</v>
      </c>
      <c r="F13" s="192">
        <f t="shared" si="1"/>
        <v>100</v>
      </c>
      <c r="G13" s="193">
        <f t="shared" si="1"/>
        <v>100</v>
      </c>
    </row>
    <row r="14" spans="1:7" ht="24" customHeight="1" hidden="1">
      <c r="A14" s="585" t="s">
        <v>42</v>
      </c>
      <c r="B14" s="107">
        <v>80270</v>
      </c>
      <c r="C14" s="107">
        <v>122620</v>
      </c>
      <c r="D14" s="107">
        <f t="shared" si="0"/>
        <v>202890</v>
      </c>
      <c r="E14" s="192">
        <f t="shared" si="1"/>
        <v>100</v>
      </c>
      <c r="F14" s="192">
        <f t="shared" si="1"/>
        <v>100</v>
      </c>
      <c r="G14" s="193">
        <f t="shared" si="1"/>
        <v>100</v>
      </c>
    </row>
    <row r="15" spans="1:7" ht="24" customHeight="1" hidden="1">
      <c r="A15" s="585" t="s">
        <v>162</v>
      </c>
      <c r="B15" s="107">
        <v>80270</v>
      </c>
      <c r="C15" s="107">
        <v>122620</v>
      </c>
      <c r="D15" s="107">
        <f t="shared" si="0"/>
        <v>202890</v>
      </c>
      <c r="E15" s="192">
        <f t="shared" si="1"/>
        <v>100</v>
      </c>
      <c r="F15" s="192">
        <f t="shared" si="1"/>
        <v>100</v>
      </c>
      <c r="G15" s="193">
        <f t="shared" si="1"/>
        <v>100</v>
      </c>
    </row>
    <row r="16" spans="1:7" ht="24" customHeight="1" hidden="1">
      <c r="A16" s="585" t="s">
        <v>19</v>
      </c>
      <c r="B16" s="107">
        <v>80270</v>
      </c>
      <c r="C16" s="107">
        <v>122620</v>
      </c>
      <c r="D16" s="107">
        <f t="shared" si="0"/>
        <v>202890</v>
      </c>
      <c r="E16" s="192">
        <f>ROUND((B16/B15)*100,1)</f>
        <v>100</v>
      </c>
      <c r="F16" s="192">
        <f>ROUND((C16/C15)*100,1)</f>
        <v>100</v>
      </c>
      <c r="G16" s="193">
        <f t="shared" si="1"/>
        <v>100</v>
      </c>
    </row>
    <row r="17" spans="1:7" ht="24" customHeight="1" hidden="1">
      <c r="A17" s="586" t="s">
        <v>21</v>
      </c>
      <c r="B17" s="186">
        <v>80270</v>
      </c>
      <c r="C17" s="401">
        <v>122620</v>
      </c>
      <c r="D17" s="186">
        <f t="shared" si="0"/>
        <v>202890</v>
      </c>
      <c r="E17" s="187">
        <f aca="true" t="shared" si="2" ref="E17:E22">ROUND((B17/B16)*100,1)</f>
        <v>100</v>
      </c>
      <c r="F17" s="187">
        <f t="shared" si="1"/>
        <v>100</v>
      </c>
      <c r="G17" s="193">
        <f t="shared" si="1"/>
        <v>100</v>
      </c>
    </row>
    <row r="18" spans="1:7" ht="24" customHeight="1" hidden="1">
      <c r="A18" s="586" t="s">
        <v>23</v>
      </c>
      <c r="B18" s="186">
        <v>80550</v>
      </c>
      <c r="C18" s="401">
        <v>123050</v>
      </c>
      <c r="D18" s="186">
        <f>B18+C18</f>
        <v>203600</v>
      </c>
      <c r="E18" s="187">
        <f t="shared" si="2"/>
        <v>100.3</v>
      </c>
      <c r="F18" s="187">
        <f t="shared" si="1"/>
        <v>100.4</v>
      </c>
      <c r="G18" s="193">
        <f t="shared" si="1"/>
        <v>100.3</v>
      </c>
    </row>
    <row r="19" spans="1:7" ht="24" customHeight="1" hidden="1">
      <c r="A19" s="586" t="s">
        <v>24</v>
      </c>
      <c r="B19" s="186">
        <v>80550</v>
      </c>
      <c r="C19" s="401">
        <v>123050</v>
      </c>
      <c r="D19" s="186">
        <f>B19+C19</f>
        <v>203600</v>
      </c>
      <c r="E19" s="187">
        <f t="shared" si="2"/>
        <v>100</v>
      </c>
      <c r="F19" s="187">
        <f t="shared" si="1"/>
        <v>100</v>
      </c>
      <c r="G19" s="193">
        <f t="shared" si="1"/>
        <v>100</v>
      </c>
    </row>
    <row r="20" spans="1:7" ht="24" customHeight="1" hidden="1">
      <c r="A20" s="586" t="s">
        <v>25</v>
      </c>
      <c r="B20" s="186">
        <v>80550</v>
      </c>
      <c r="C20" s="401">
        <v>123050</v>
      </c>
      <c r="D20" s="186">
        <f t="shared" si="0"/>
        <v>203600</v>
      </c>
      <c r="E20" s="187">
        <f t="shared" si="2"/>
        <v>100</v>
      </c>
      <c r="F20" s="187">
        <f t="shared" si="1"/>
        <v>100</v>
      </c>
      <c r="G20" s="587">
        <f t="shared" si="1"/>
        <v>100</v>
      </c>
    </row>
    <row r="21" spans="1:7" ht="24" customHeight="1">
      <c r="A21" s="585" t="s">
        <v>46</v>
      </c>
      <c r="B21" s="107">
        <v>80550</v>
      </c>
      <c r="C21" s="397">
        <v>123050</v>
      </c>
      <c r="D21" s="107">
        <f>B21+C21</f>
        <v>203600</v>
      </c>
      <c r="E21" s="192">
        <f t="shared" si="2"/>
        <v>100</v>
      </c>
      <c r="F21" s="192">
        <f t="shared" si="1"/>
        <v>100</v>
      </c>
      <c r="G21" s="588">
        <f t="shared" si="1"/>
        <v>100</v>
      </c>
    </row>
    <row r="22" spans="1:7" ht="24" customHeight="1">
      <c r="A22" s="589" t="s">
        <v>134</v>
      </c>
      <c r="B22" s="99">
        <v>80270</v>
      </c>
      <c r="C22" s="382">
        <v>123330</v>
      </c>
      <c r="D22" s="99">
        <f>B22+C22</f>
        <v>203600</v>
      </c>
      <c r="E22" s="194">
        <f t="shared" si="2"/>
        <v>99.7</v>
      </c>
      <c r="F22" s="194">
        <f t="shared" si="1"/>
        <v>100.2</v>
      </c>
      <c r="G22" s="587">
        <f t="shared" si="1"/>
        <v>100</v>
      </c>
    </row>
    <row r="23" spans="1:7" ht="24" customHeight="1">
      <c r="A23" s="586" t="s">
        <v>27</v>
      </c>
      <c r="B23" s="186">
        <v>80270</v>
      </c>
      <c r="C23" s="401">
        <v>123330</v>
      </c>
      <c r="D23" s="186">
        <f>B23+C23</f>
        <v>203600</v>
      </c>
      <c r="E23" s="187">
        <f>ROUND((B23/B22)*100,1)</f>
        <v>100</v>
      </c>
      <c r="F23" s="187">
        <f t="shared" si="1"/>
        <v>100</v>
      </c>
      <c r="G23" s="590">
        <f>ROUND((D23/D22)*100,1)</f>
        <v>100</v>
      </c>
    </row>
    <row r="24" spans="1:7" ht="24" customHeight="1">
      <c r="A24" s="586" t="s">
        <v>30</v>
      </c>
      <c r="B24" s="186">
        <v>80270</v>
      </c>
      <c r="C24" s="401">
        <v>123330</v>
      </c>
      <c r="D24" s="186">
        <f>B24+C24</f>
        <v>203600</v>
      </c>
      <c r="E24" s="187">
        <f>ROUND((B24/B23)*100,1)</f>
        <v>100</v>
      </c>
      <c r="F24" s="187">
        <f>ROUND((C24/C23)*100,1)</f>
        <v>100</v>
      </c>
      <c r="G24" s="590">
        <f>ROUND((D24/D23)*100,1)</f>
        <v>100</v>
      </c>
    </row>
    <row r="25" spans="1:7" ht="24" customHeight="1" thickBot="1">
      <c r="A25" s="591" t="s">
        <v>35</v>
      </c>
      <c r="B25" s="206">
        <v>80270</v>
      </c>
      <c r="C25" s="592">
        <v>123330</v>
      </c>
      <c r="D25" s="206">
        <f>B25+C25</f>
        <v>203600</v>
      </c>
      <c r="E25" s="207">
        <f>ROUND((B25/B24)*100,1)</f>
        <v>100</v>
      </c>
      <c r="F25" s="207">
        <f>ROUND((C25/C24)*100,1)</f>
        <v>100</v>
      </c>
      <c r="G25" s="593">
        <f>ROUND((D25/D24)*100,1)</f>
        <v>100</v>
      </c>
    </row>
    <row r="26" spans="1:7" ht="21.75" customHeight="1">
      <c r="A26" s="371" t="s">
        <v>351</v>
      </c>
      <c r="B26" s="371"/>
      <c r="C26" s="594"/>
      <c r="D26" s="371"/>
      <c r="E26" s="371" t="s">
        <v>100</v>
      </c>
      <c r="F26" s="371"/>
      <c r="G26" s="371"/>
    </row>
    <row r="27" spans="1:7" ht="7.5" customHeight="1">
      <c r="A27" s="371"/>
      <c r="B27" s="371"/>
      <c r="C27" s="371"/>
      <c r="D27" s="371"/>
      <c r="E27" s="371"/>
      <c r="F27" s="371"/>
      <c r="G27" s="371"/>
    </row>
    <row r="28" spans="1:7" s="83" customFormat="1" ht="21.75" customHeight="1" thickBot="1">
      <c r="A28" s="82" t="s">
        <v>352</v>
      </c>
      <c r="B28" s="82"/>
      <c r="C28" s="82"/>
      <c r="D28" s="82"/>
      <c r="E28" s="82"/>
      <c r="F28" s="86" t="s">
        <v>345</v>
      </c>
      <c r="G28" s="82"/>
    </row>
    <row r="29" spans="1:7" ht="17.25" customHeight="1">
      <c r="A29" s="745" t="s">
        <v>13</v>
      </c>
      <c r="B29" s="746" t="s">
        <v>346</v>
      </c>
      <c r="C29" s="748" t="s">
        <v>353</v>
      </c>
      <c r="D29" s="707"/>
      <c r="E29" s="668" t="s">
        <v>67</v>
      </c>
      <c r="F29" s="669"/>
      <c r="G29" s="371"/>
    </row>
    <row r="30" spans="1:7" ht="17.25" customHeight="1">
      <c r="A30" s="654"/>
      <c r="B30" s="747"/>
      <c r="C30" s="749"/>
      <c r="D30" s="750"/>
      <c r="E30" s="202" t="s">
        <v>348</v>
      </c>
      <c r="F30" s="595" t="s">
        <v>348</v>
      </c>
      <c r="G30" s="371"/>
    </row>
    <row r="31" spans="1:7" ht="17.25" customHeight="1">
      <c r="A31" s="657"/>
      <c r="B31" s="662"/>
      <c r="C31" s="659"/>
      <c r="D31" s="624"/>
      <c r="E31" s="183" t="s">
        <v>349</v>
      </c>
      <c r="F31" s="596" t="s">
        <v>350</v>
      </c>
      <c r="G31" s="371"/>
    </row>
    <row r="32" spans="1:7" ht="24" customHeight="1" hidden="1">
      <c r="A32" s="586" t="s">
        <v>36</v>
      </c>
      <c r="B32" s="186">
        <v>52399</v>
      </c>
      <c r="C32" s="751">
        <v>0</v>
      </c>
      <c r="D32" s="752"/>
      <c r="E32" s="187">
        <v>100</v>
      </c>
      <c r="F32" s="597">
        <v>0</v>
      </c>
      <c r="G32" s="418"/>
    </row>
    <row r="33" spans="1:7" ht="24" customHeight="1" hidden="1">
      <c r="A33" s="585" t="s">
        <v>86</v>
      </c>
      <c r="B33" s="107">
        <v>52493</v>
      </c>
      <c r="C33" s="741">
        <v>0</v>
      </c>
      <c r="D33" s="742"/>
      <c r="E33" s="192">
        <f aca="true" t="shared" si="3" ref="E33:E46">ROUND((B33/B32)*100,1)</f>
        <v>100.2</v>
      </c>
      <c r="F33" s="598">
        <v>0</v>
      </c>
      <c r="G33" s="418"/>
    </row>
    <row r="34" spans="1:7" ht="24" customHeight="1" hidden="1">
      <c r="A34" s="585" t="s">
        <v>37</v>
      </c>
      <c r="B34" s="107">
        <v>52447</v>
      </c>
      <c r="C34" s="741">
        <v>0</v>
      </c>
      <c r="D34" s="742"/>
      <c r="E34" s="192">
        <f t="shared" si="3"/>
        <v>99.9</v>
      </c>
      <c r="F34" s="598">
        <v>0</v>
      </c>
      <c r="G34" s="418"/>
    </row>
    <row r="35" spans="1:7" ht="24" customHeight="1" hidden="1">
      <c r="A35" s="585" t="s">
        <v>38</v>
      </c>
      <c r="B35" s="107">
        <v>52433</v>
      </c>
      <c r="C35" s="743">
        <v>0</v>
      </c>
      <c r="D35" s="744"/>
      <c r="E35" s="192">
        <f t="shared" si="3"/>
        <v>100</v>
      </c>
      <c r="F35" s="598">
        <v>0</v>
      </c>
      <c r="G35" s="418"/>
    </row>
    <row r="36" spans="1:7" ht="24" customHeight="1" hidden="1">
      <c r="A36" s="585" t="s">
        <v>39</v>
      </c>
      <c r="B36" s="107">
        <v>52463</v>
      </c>
      <c r="C36" s="741">
        <v>0</v>
      </c>
      <c r="D36" s="742"/>
      <c r="E36" s="192">
        <f t="shared" si="3"/>
        <v>100.1</v>
      </c>
      <c r="F36" s="598">
        <v>0</v>
      </c>
      <c r="G36" s="418"/>
    </row>
    <row r="37" spans="1:7" ht="24" customHeight="1" hidden="1">
      <c r="A37" s="585" t="s">
        <v>40</v>
      </c>
      <c r="B37" s="107">
        <v>52455</v>
      </c>
      <c r="C37" s="741">
        <v>0</v>
      </c>
      <c r="D37" s="742"/>
      <c r="E37" s="192">
        <f t="shared" si="3"/>
        <v>100</v>
      </c>
      <c r="F37" s="598">
        <v>0</v>
      </c>
      <c r="G37" s="418"/>
    </row>
    <row r="38" spans="1:7" ht="24" customHeight="1" hidden="1">
      <c r="A38" s="585" t="s">
        <v>41</v>
      </c>
      <c r="B38" s="107">
        <v>52469</v>
      </c>
      <c r="C38" s="741">
        <v>0</v>
      </c>
      <c r="D38" s="742"/>
      <c r="E38" s="192">
        <f t="shared" si="3"/>
        <v>100</v>
      </c>
      <c r="F38" s="598">
        <v>0</v>
      </c>
      <c r="G38" s="418"/>
    </row>
    <row r="39" spans="1:7" ht="24" customHeight="1" hidden="1">
      <c r="A39" s="585" t="s">
        <v>42</v>
      </c>
      <c r="B39" s="107">
        <v>55272</v>
      </c>
      <c r="C39" s="741">
        <v>0</v>
      </c>
      <c r="D39" s="742"/>
      <c r="E39" s="192">
        <f t="shared" si="3"/>
        <v>105.3</v>
      </c>
      <c r="F39" s="598">
        <v>0</v>
      </c>
      <c r="G39" s="418"/>
    </row>
    <row r="40" spans="1:7" ht="24" customHeight="1" hidden="1">
      <c r="A40" s="585" t="s">
        <v>162</v>
      </c>
      <c r="B40" s="107">
        <v>55222</v>
      </c>
      <c r="C40" s="741">
        <v>0</v>
      </c>
      <c r="D40" s="742"/>
      <c r="E40" s="192">
        <f t="shared" si="3"/>
        <v>99.9</v>
      </c>
      <c r="F40" s="598">
        <v>0</v>
      </c>
      <c r="G40" s="418"/>
    </row>
    <row r="41" spans="1:7" ht="24" customHeight="1" hidden="1">
      <c r="A41" s="585" t="s">
        <v>19</v>
      </c>
      <c r="B41" s="107">
        <v>55230</v>
      </c>
      <c r="C41" s="741">
        <v>0</v>
      </c>
      <c r="D41" s="742"/>
      <c r="E41" s="192">
        <f t="shared" si="3"/>
        <v>100</v>
      </c>
      <c r="F41" s="598">
        <v>0</v>
      </c>
      <c r="G41" s="418"/>
    </row>
    <row r="42" spans="1:7" ht="24" customHeight="1" hidden="1">
      <c r="A42" s="586" t="s">
        <v>21</v>
      </c>
      <c r="B42" s="186">
        <v>55196</v>
      </c>
      <c r="C42" s="424"/>
      <c r="D42" s="388">
        <v>0</v>
      </c>
      <c r="E42" s="187">
        <f t="shared" si="3"/>
        <v>99.9</v>
      </c>
      <c r="F42" s="598">
        <v>0</v>
      </c>
      <c r="G42" s="418"/>
    </row>
    <row r="43" spans="1:7" ht="24" customHeight="1" hidden="1">
      <c r="A43" s="586" t="s">
        <v>23</v>
      </c>
      <c r="B43" s="186">
        <v>55164</v>
      </c>
      <c r="C43" s="424"/>
      <c r="D43" s="388">
        <v>0</v>
      </c>
      <c r="E43" s="187">
        <f t="shared" si="3"/>
        <v>99.9</v>
      </c>
      <c r="F43" s="598">
        <v>0</v>
      </c>
      <c r="G43" s="418"/>
    </row>
    <row r="44" spans="1:7" ht="24" customHeight="1" hidden="1">
      <c r="A44" s="586" t="s">
        <v>24</v>
      </c>
      <c r="B44" s="186">
        <v>55161</v>
      </c>
      <c r="C44" s="424"/>
      <c r="D44" s="388">
        <v>0</v>
      </c>
      <c r="E44" s="187">
        <f t="shared" si="3"/>
        <v>100</v>
      </c>
      <c r="F44" s="598">
        <v>0</v>
      </c>
      <c r="G44" s="418"/>
    </row>
    <row r="45" spans="1:7" ht="24" customHeight="1" hidden="1">
      <c r="A45" s="586" t="s">
        <v>25</v>
      </c>
      <c r="B45" s="186">
        <v>55153</v>
      </c>
      <c r="C45" s="599"/>
      <c r="D45" s="388">
        <v>0</v>
      </c>
      <c r="E45" s="187">
        <f t="shared" si="3"/>
        <v>100</v>
      </c>
      <c r="F45" s="600">
        <v>0</v>
      </c>
      <c r="G45" s="418"/>
    </row>
    <row r="46" spans="1:7" ht="24" customHeight="1">
      <c r="A46" s="585" t="s">
        <v>46</v>
      </c>
      <c r="B46" s="107">
        <v>55147</v>
      </c>
      <c r="C46" s="410"/>
      <c r="D46" s="409">
        <v>0</v>
      </c>
      <c r="E46" s="192">
        <f t="shared" si="3"/>
        <v>100</v>
      </c>
      <c r="F46" s="601">
        <v>0</v>
      </c>
      <c r="G46" s="418"/>
    </row>
    <row r="47" spans="1:7" ht="24" customHeight="1">
      <c r="A47" s="589" t="s">
        <v>134</v>
      </c>
      <c r="B47" s="99">
        <v>55128</v>
      </c>
      <c r="C47" s="599"/>
      <c r="D47" s="602">
        <v>0</v>
      </c>
      <c r="E47" s="194">
        <f>ROUND((B47/B46)*100,1)</f>
        <v>100</v>
      </c>
      <c r="F47" s="600">
        <v>0</v>
      </c>
      <c r="G47" s="418"/>
    </row>
    <row r="48" spans="1:7" ht="24" customHeight="1">
      <c r="A48" s="586" t="s">
        <v>27</v>
      </c>
      <c r="B48" s="186">
        <v>55105</v>
      </c>
      <c r="C48" s="390"/>
      <c r="D48" s="388">
        <v>0</v>
      </c>
      <c r="E48" s="187">
        <f>ROUND((B48/B47)*100,1)</f>
        <v>100</v>
      </c>
      <c r="F48" s="603">
        <v>0</v>
      </c>
      <c r="G48" s="418"/>
    </row>
    <row r="49" spans="1:7" ht="24" customHeight="1">
      <c r="A49" s="586" t="s">
        <v>30</v>
      </c>
      <c r="B49" s="186">
        <v>55092</v>
      </c>
      <c r="C49" s="390"/>
      <c r="D49" s="388">
        <v>0</v>
      </c>
      <c r="E49" s="187">
        <f>ROUND((B49/B48)*100,1)</f>
        <v>100</v>
      </c>
      <c r="F49" s="603">
        <v>0</v>
      </c>
      <c r="G49" s="418"/>
    </row>
    <row r="50" spans="1:7" ht="24" customHeight="1" thickBot="1">
      <c r="A50" s="591" t="s">
        <v>35</v>
      </c>
      <c r="B50" s="206">
        <v>55069</v>
      </c>
      <c r="C50" s="604"/>
      <c r="D50" s="605">
        <v>0</v>
      </c>
      <c r="E50" s="207">
        <f>ROUND((B50/B49)*100,1)</f>
        <v>100</v>
      </c>
      <c r="F50" s="606">
        <v>0</v>
      </c>
      <c r="G50" s="418"/>
    </row>
    <row r="51" spans="1:7" ht="21.75" customHeight="1">
      <c r="A51" s="371" t="s">
        <v>351</v>
      </c>
      <c r="B51" s="100"/>
      <c r="C51" s="100"/>
      <c r="D51" s="100"/>
      <c r="E51" s="418" t="s">
        <v>354</v>
      </c>
      <c r="F51" s="418"/>
      <c r="G51" s="418"/>
    </row>
    <row r="52" spans="1:7" ht="15.75" customHeight="1">
      <c r="A52" s="371"/>
      <c r="B52" s="371"/>
      <c r="C52" s="371" t="s">
        <v>100</v>
      </c>
      <c r="D52" s="371" t="s">
        <v>354</v>
      </c>
      <c r="E52" s="371"/>
      <c r="F52" s="371" t="s">
        <v>100</v>
      </c>
      <c r="G52" s="371"/>
    </row>
    <row r="53" spans="1:7" s="83" customFormat="1" ht="21.75" customHeight="1" thickBot="1">
      <c r="A53" s="82" t="s">
        <v>355</v>
      </c>
      <c r="B53" s="82"/>
      <c r="C53" s="82"/>
      <c r="D53" s="82"/>
      <c r="E53" s="82"/>
      <c r="F53" s="82"/>
      <c r="G53" s="86" t="s">
        <v>356</v>
      </c>
    </row>
    <row r="54" spans="1:7" ht="17.25" customHeight="1">
      <c r="A54" s="667" t="s">
        <v>13</v>
      </c>
      <c r="B54" s="668" t="s">
        <v>357</v>
      </c>
      <c r="C54" s="668" t="s">
        <v>358</v>
      </c>
      <c r="D54" s="668" t="s">
        <v>3</v>
      </c>
      <c r="E54" s="668" t="s">
        <v>67</v>
      </c>
      <c r="F54" s="668"/>
      <c r="G54" s="669"/>
    </row>
    <row r="55" spans="1:7" ht="17.25" customHeight="1">
      <c r="A55" s="664"/>
      <c r="B55" s="663"/>
      <c r="C55" s="663"/>
      <c r="D55" s="663"/>
      <c r="E55" s="199" t="s">
        <v>7</v>
      </c>
      <c r="F55" s="199" t="s">
        <v>8</v>
      </c>
      <c r="G55" s="607" t="s">
        <v>3</v>
      </c>
    </row>
    <row r="56" spans="1:7" ht="24" customHeight="1" hidden="1">
      <c r="A56" s="586" t="s">
        <v>36</v>
      </c>
      <c r="B56" s="107">
        <v>1116897083</v>
      </c>
      <c r="C56" s="107">
        <v>818104419</v>
      </c>
      <c r="D56" s="186">
        <f aca="true" t="shared" si="4" ref="D56:D69">B56+C56</f>
        <v>1935001502</v>
      </c>
      <c r="E56" s="187">
        <v>94</v>
      </c>
      <c r="F56" s="192">
        <v>103.7</v>
      </c>
      <c r="G56" s="188">
        <v>97.8</v>
      </c>
    </row>
    <row r="57" spans="1:7" ht="24" customHeight="1" hidden="1">
      <c r="A57" s="585" t="s">
        <v>86</v>
      </c>
      <c r="B57" s="107">
        <v>1049829486</v>
      </c>
      <c r="C57" s="107">
        <v>845696615</v>
      </c>
      <c r="D57" s="107">
        <f t="shared" si="4"/>
        <v>1895526101</v>
      </c>
      <c r="E57" s="192">
        <f>ROUND((B57/B56)*100,1)</f>
        <v>94</v>
      </c>
      <c r="F57" s="192">
        <f aca="true" t="shared" si="5" ref="E57:G64">ROUND((C57/C56)*100,1)</f>
        <v>103.4</v>
      </c>
      <c r="G57" s="193">
        <f t="shared" si="5"/>
        <v>98</v>
      </c>
    </row>
    <row r="58" spans="1:7" ht="24" customHeight="1" hidden="1">
      <c r="A58" s="585" t="s">
        <v>37</v>
      </c>
      <c r="B58" s="107">
        <v>996520057</v>
      </c>
      <c r="C58" s="107">
        <v>782102801</v>
      </c>
      <c r="D58" s="107">
        <f t="shared" si="4"/>
        <v>1778622858</v>
      </c>
      <c r="E58" s="192">
        <f t="shared" si="5"/>
        <v>94.9</v>
      </c>
      <c r="F58" s="192">
        <f t="shared" si="5"/>
        <v>92.5</v>
      </c>
      <c r="G58" s="193">
        <f t="shared" si="5"/>
        <v>93.8</v>
      </c>
    </row>
    <row r="59" spans="1:7" ht="24" customHeight="1" hidden="1">
      <c r="A59" s="585" t="s">
        <v>38</v>
      </c>
      <c r="B59" s="107">
        <v>974437447</v>
      </c>
      <c r="C59" s="107">
        <v>806108091</v>
      </c>
      <c r="D59" s="107">
        <f t="shared" si="4"/>
        <v>1780545538</v>
      </c>
      <c r="E59" s="192">
        <f>ROUND((B58/B57)*100,1)</f>
        <v>94.9</v>
      </c>
      <c r="F59" s="192">
        <f t="shared" si="5"/>
        <v>103.1</v>
      </c>
      <c r="G59" s="193">
        <f t="shared" si="5"/>
        <v>100.1</v>
      </c>
    </row>
    <row r="60" spans="1:7" ht="24" customHeight="1" hidden="1">
      <c r="A60" s="585" t="s">
        <v>39</v>
      </c>
      <c r="B60" s="107">
        <v>970565311</v>
      </c>
      <c r="C60" s="107">
        <v>833130760</v>
      </c>
      <c r="D60" s="107">
        <f t="shared" si="4"/>
        <v>1803696071</v>
      </c>
      <c r="E60" s="192">
        <f>ROUND((B60/B59)*100,1)</f>
        <v>99.6</v>
      </c>
      <c r="F60" s="192">
        <f t="shared" si="5"/>
        <v>103.4</v>
      </c>
      <c r="G60" s="193">
        <f t="shared" si="5"/>
        <v>101.3</v>
      </c>
    </row>
    <row r="61" spans="1:7" ht="24" customHeight="1" hidden="1">
      <c r="A61" s="585" t="s">
        <v>40</v>
      </c>
      <c r="B61" s="107">
        <v>970314930</v>
      </c>
      <c r="C61" s="107">
        <v>812121550</v>
      </c>
      <c r="D61" s="107">
        <f t="shared" si="4"/>
        <v>1782436480</v>
      </c>
      <c r="E61" s="192">
        <f>ROUND((B61/B60)*100,1)</f>
        <v>100</v>
      </c>
      <c r="F61" s="192">
        <f t="shared" si="5"/>
        <v>97.5</v>
      </c>
      <c r="G61" s="193">
        <f t="shared" si="5"/>
        <v>98.8</v>
      </c>
    </row>
    <row r="62" spans="1:7" ht="24" customHeight="1" hidden="1">
      <c r="A62" s="585" t="s">
        <v>41</v>
      </c>
      <c r="B62" s="107">
        <v>961676363</v>
      </c>
      <c r="C62" s="107">
        <v>830216077</v>
      </c>
      <c r="D62" s="107">
        <f t="shared" si="4"/>
        <v>1791892440</v>
      </c>
      <c r="E62" s="192">
        <f>ROUND((B62/B61)*100,1)</f>
        <v>99.1</v>
      </c>
      <c r="F62" s="192">
        <f t="shared" si="5"/>
        <v>102.2</v>
      </c>
      <c r="G62" s="193">
        <f t="shared" si="5"/>
        <v>100.5</v>
      </c>
    </row>
    <row r="63" spans="1:7" ht="24" customHeight="1" hidden="1">
      <c r="A63" s="585" t="s">
        <v>42</v>
      </c>
      <c r="B63" s="107">
        <v>987942199</v>
      </c>
      <c r="C63" s="107">
        <v>885209975</v>
      </c>
      <c r="D63" s="107">
        <f t="shared" si="4"/>
        <v>1873152174</v>
      </c>
      <c r="E63" s="192">
        <f>ROUND((B63/B62)*100,1)</f>
        <v>102.7</v>
      </c>
      <c r="F63" s="192">
        <f t="shared" si="5"/>
        <v>106.6</v>
      </c>
      <c r="G63" s="193">
        <f t="shared" si="5"/>
        <v>104.5</v>
      </c>
    </row>
    <row r="64" spans="1:7" ht="24" customHeight="1" hidden="1">
      <c r="A64" s="585" t="s">
        <v>162</v>
      </c>
      <c r="B64" s="107">
        <v>972904623</v>
      </c>
      <c r="C64" s="107">
        <v>803576183</v>
      </c>
      <c r="D64" s="107">
        <f t="shared" si="4"/>
        <v>1776480806</v>
      </c>
      <c r="E64" s="192">
        <f>ROUND((B64/B63)*100,1)</f>
        <v>98.5</v>
      </c>
      <c r="F64" s="192">
        <f t="shared" si="5"/>
        <v>90.8</v>
      </c>
      <c r="G64" s="193">
        <f t="shared" si="5"/>
        <v>94.8</v>
      </c>
    </row>
    <row r="65" spans="1:7" ht="24" customHeight="1" hidden="1">
      <c r="A65" s="585" t="s">
        <v>19</v>
      </c>
      <c r="B65" s="107">
        <v>962578686</v>
      </c>
      <c r="C65" s="107">
        <v>824824203</v>
      </c>
      <c r="D65" s="107">
        <f t="shared" si="4"/>
        <v>1787402889</v>
      </c>
      <c r="E65" s="192">
        <f aca="true" t="shared" si="6" ref="E65:G73">ROUND((B65/B64)*100,1)</f>
        <v>98.9</v>
      </c>
      <c r="F65" s="192">
        <f t="shared" si="6"/>
        <v>102.6</v>
      </c>
      <c r="G65" s="193">
        <f t="shared" si="6"/>
        <v>100.6</v>
      </c>
    </row>
    <row r="66" spans="1:7" ht="24" customHeight="1" hidden="1">
      <c r="A66" s="586" t="s">
        <v>21</v>
      </c>
      <c r="B66" s="186">
        <v>964958898</v>
      </c>
      <c r="C66" s="186">
        <v>824790797</v>
      </c>
      <c r="D66" s="186">
        <f t="shared" si="4"/>
        <v>1789749695</v>
      </c>
      <c r="E66" s="187">
        <f t="shared" si="6"/>
        <v>100.2</v>
      </c>
      <c r="F66" s="187">
        <f t="shared" si="6"/>
        <v>100</v>
      </c>
      <c r="G66" s="193">
        <f t="shared" si="6"/>
        <v>100.1</v>
      </c>
    </row>
    <row r="67" spans="1:7" ht="24" customHeight="1" hidden="1">
      <c r="A67" s="586" t="s">
        <v>23</v>
      </c>
      <c r="B67" s="186">
        <v>962926031</v>
      </c>
      <c r="C67" s="186">
        <v>825770139</v>
      </c>
      <c r="D67" s="186">
        <f>B67+C67</f>
        <v>1788696170</v>
      </c>
      <c r="E67" s="187">
        <f t="shared" si="6"/>
        <v>99.8</v>
      </c>
      <c r="F67" s="187">
        <f t="shared" si="6"/>
        <v>100.1</v>
      </c>
      <c r="G67" s="193">
        <f t="shared" si="6"/>
        <v>99.9</v>
      </c>
    </row>
    <row r="68" spans="1:7" ht="24" customHeight="1" hidden="1">
      <c r="A68" s="586" t="s">
        <v>24</v>
      </c>
      <c r="B68" s="186">
        <v>968029697</v>
      </c>
      <c r="C68" s="186">
        <v>845566459</v>
      </c>
      <c r="D68" s="186">
        <v>1813596156</v>
      </c>
      <c r="E68" s="187">
        <f t="shared" si="6"/>
        <v>100.5</v>
      </c>
      <c r="F68" s="187">
        <f t="shared" si="6"/>
        <v>102.4</v>
      </c>
      <c r="G68" s="193">
        <f t="shared" si="6"/>
        <v>101.4</v>
      </c>
    </row>
    <row r="69" spans="1:7" ht="24" customHeight="1" hidden="1">
      <c r="A69" s="586" t="s">
        <v>25</v>
      </c>
      <c r="B69" s="186">
        <v>973292773</v>
      </c>
      <c r="C69" s="186">
        <v>864231506</v>
      </c>
      <c r="D69" s="186">
        <f t="shared" si="4"/>
        <v>1837524279</v>
      </c>
      <c r="E69" s="187">
        <f t="shared" si="6"/>
        <v>100.5</v>
      </c>
      <c r="F69" s="187">
        <f t="shared" si="6"/>
        <v>102.2</v>
      </c>
      <c r="G69" s="587">
        <f t="shared" si="6"/>
        <v>101.3</v>
      </c>
    </row>
    <row r="70" spans="1:7" ht="24" customHeight="1">
      <c r="A70" s="585" t="s">
        <v>46</v>
      </c>
      <c r="B70" s="107">
        <v>976645617</v>
      </c>
      <c r="C70" s="107">
        <v>847617727</v>
      </c>
      <c r="D70" s="107">
        <f>B70+C70</f>
        <v>1824263344</v>
      </c>
      <c r="E70" s="192">
        <f t="shared" si="6"/>
        <v>100.3</v>
      </c>
      <c r="F70" s="192">
        <f t="shared" si="6"/>
        <v>98.1</v>
      </c>
      <c r="G70" s="588">
        <f t="shared" si="6"/>
        <v>99.3</v>
      </c>
    </row>
    <row r="71" spans="1:7" ht="24" customHeight="1">
      <c r="A71" s="589" t="s">
        <v>134</v>
      </c>
      <c r="B71" s="99">
        <v>981836707</v>
      </c>
      <c r="C71" s="99">
        <v>870683750</v>
      </c>
      <c r="D71" s="99">
        <f>B71+C71</f>
        <v>1852520457</v>
      </c>
      <c r="E71" s="194">
        <f t="shared" si="6"/>
        <v>100.5</v>
      </c>
      <c r="F71" s="194">
        <f t="shared" si="6"/>
        <v>102.7</v>
      </c>
      <c r="G71" s="587">
        <f t="shared" si="6"/>
        <v>101.5</v>
      </c>
    </row>
    <row r="72" spans="1:7" ht="24" customHeight="1">
      <c r="A72" s="586" t="s">
        <v>27</v>
      </c>
      <c r="B72" s="186">
        <v>986574489</v>
      </c>
      <c r="C72" s="186">
        <v>894298688</v>
      </c>
      <c r="D72" s="186">
        <f>B72+C72</f>
        <v>1880873177</v>
      </c>
      <c r="E72" s="187">
        <f t="shared" si="6"/>
        <v>100.5</v>
      </c>
      <c r="F72" s="187">
        <f t="shared" si="6"/>
        <v>102.7</v>
      </c>
      <c r="G72" s="590">
        <f t="shared" si="6"/>
        <v>101.5</v>
      </c>
    </row>
    <row r="73" spans="1:7" ht="24" customHeight="1">
      <c r="A73" s="586" t="s">
        <v>30</v>
      </c>
      <c r="B73" s="186">
        <v>968250122</v>
      </c>
      <c r="C73" s="186">
        <v>847325912</v>
      </c>
      <c r="D73" s="186">
        <f>B73+C73</f>
        <v>1815576034</v>
      </c>
      <c r="E73" s="187">
        <f t="shared" si="6"/>
        <v>98.1</v>
      </c>
      <c r="F73" s="187">
        <f t="shared" si="6"/>
        <v>94.7</v>
      </c>
      <c r="G73" s="590">
        <f t="shared" si="6"/>
        <v>96.5</v>
      </c>
    </row>
    <row r="74" spans="1:7" ht="24" customHeight="1" thickBot="1">
      <c r="A74" s="591" t="s">
        <v>35</v>
      </c>
      <c r="B74" s="206">
        <v>967233157</v>
      </c>
      <c r="C74" s="206">
        <v>904053101</v>
      </c>
      <c r="D74" s="206">
        <f>B74+C74</f>
        <v>1871286258</v>
      </c>
      <c r="E74" s="207">
        <f>ROUND((B74/B73)*100,1)</f>
        <v>99.9</v>
      </c>
      <c r="F74" s="207">
        <f>ROUND((C74/C73)*100,1)</f>
        <v>106.7</v>
      </c>
      <c r="G74" s="593">
        <f>ROUND((D74/D73)*100,1)</f>
        <v>103.1</v>
      </c>
    </row>
    <row r="75" spans="1:7" ht="21.75" customHeight="1">
      <c r="A75" s="371" t="s">
        <v>351</v>
      </c>
      <c r="B75" s="371"/>
      <c r="C75" s="371"/>
      <c r="D75" s="371"/>
      <c r="E75" s="371"/>
      <c r="F75" s="371"/>
      <c r="G75" s="371"/>
    </row>
    <row r="76" ht="18.75" customHeight="1">
      <c r="C76" s="372" t="s">
        <v>100</v>
      </c>
    </row>
  </sheetData>
  <sheetProtection/>
  <mergeCells count="25">
    <mergeCell ref="A4:A6"/>
    <mergeCell ref="B4:B6"/>
    <mergeCell ref="C4:C6"/>
    <mergeCell ref="D4:D6"/>
    <mergeCell ref="E4:G4"/>
    <mergeCell ref="G5:G6"/>
    <mergeCell ref="A29:A31"/>
    <mergeCell ref="B29:B31"/>
    <mergeCell ref="C29:D31"/>
    <mergeCell ref="E29:F29"/>
    <mergeCell ref="C32:D32"/>
    <mergeCell ref="C33:D33"/>
    <mergeCell ref="C34:D34"/>
    <mergeCell ref="C35:D35"/>
    <mergeCell ref="C36:D36"/>
    <mergeCell ref="C37:D37"/>
    <mergeCell ref="C38:D38"/>
    <mergeCell ref="C39:D39"/>
    <mergeCell ref="E54:G54"/>
    <mergeCell ref="C40:D40"/>
    <mergeCell ref="C41:D41"/>
    <mergeCell ref="A54:A55"/>
    <mergeCell ref="B54:B55"/>
    <mergeCell ref="C54:C55"/>
    <mergeCell ref="D54:D55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3.625" defaultRowHeight="22.5" customHeight="1"/>
  <cols>
    <col min="1" max="1" width="8.50390625" style="83" customWidth="1"/>
    <col min="2" max="2" width="10.375" style="83" customWidth="1"/>
    <col min="3" max="10" width="13.625" style="83" hidden="1" customWidth="1"/>
    <col min="11" max="14" width="0" style="83" hidden="1" customWidth="1"/>
    <col min="15" max="16" width="14.75390625" style="83" hidden="1" customWidth="1"/>
    <col min="17" max="18" width="14.75390625" style="83" bestFit="1" customWidth="1"/>
    <col min="19" max="19" width="14.75390625" style="83" customWidth="1"/>
    <col min="20" max="21" width="14.75390625" style="83" bestFit="1" customWidth="1"/>
    <col min="22" max="16384" width="13.625" style="83" customWidth="1"/>
  </cols>
  <sheetData>
    <row r="1" spans="1:21" ht="27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7" customHeight="1">
      <c r="A2" s="84" t="s">
        <v>47</v>
      </c>
      <c r="B2" s="85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7" customHeight="1" thickBot="1">
      <c r="A3" s="82" t="s">
        <v>48</v>
      </c>
      <c r="B3" s="8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 t="s">
        <v>49</v>
      </c>
    </row>
    <row r="4" spans="1:21" ht="22.5" customHeight="1">
      <c r="A4" s="619" t="s">
        <v>13</v>
      </c>
      <c r="B4" s="620"/>
      <c r="C4" s="87" t="s">
        <v>36</v>
      </c>
      <c r="D4" s="88" t="s">
        <v>15</v>
      </c>
      <c r="E4" s="88" t="s">
        <v>37</v>
      </c>
      <c r="F4" s="88" t="s">
        <v>38</v>
      </c>
      <c r="G4" s="88" t="s">
        <v>39</v>
      </c>
      <c r="H4" s="89" t="s">
        <v>40</v>
      </c>
      <c r="I4" s="88" t="s">
        <v>41</v>
      </c>
      <c r="J4" s="89" t="s">
        <v>42</v>
      </c>
      <c r="K4" s="88" t="s">
        <v>16</v>
      </c>
      <c r="L4" s="88" t="s">
        <v>19</v>
      </c>
      <c r="M4" s="90" t="s">
        <v>21</v>
      </c>
      <c r="N4" s="90" t="s">
        <v>23</v>
      </c>
      <c r="O4" s="91" t="s">
        <v>24</v>
      </c>
      <c r="P4" s="91" t="s">
        <v>25</v>
      </c>
      <c r="Q4" s="91" t="s">
        <v>46</v>
      </c>
      <c r="R4" s="91" t="s">
        <v>29</v>
      </c>
      <c r="S4" s="91" t="s">
        <v>27</v>
      </c>
      <c r="T4" s="91" t="s">
        <v>30</v>
      </c>
      <c r="U4" s="92" t="s">
        <v>35</v>
      </c>
    </row>
    <row r="5" spans="1:21" ht="22.5" customHeight="1">
      <c r="A5" s="629" t="s">
        <v>12</v>
      </c>
      <c r="B5" s="630"/>
      <c r="C5" s="93"/>
      <c r="D5" s="93"/>
      <c r="E5" s="93"/>
      <c r="F5" s="93"/>
      <c r="G5" s="93"/>
      <c r="H5" s="94"/>
      <c r="I5" s="93"/>
      <c r="J5" s="94"/>
      <c r="K5" s="93"/>
      <c r="L5" s="93"/>
      <c r="M5" s="93"/>
      <c r="N5" s="93"/>
      <c r="O5" s="82"/>
      <c r="P5" s="95"/>
      <c r="Q5" s="95"/>
      <c r="R5" s="95"/>
      <c r="S5" s="95"/>
      <c r="T5" s="95"/>
      <c r="U5" s="96"/>
    </row>
    <row r="6" spans="1:21" ht="22.5" customHeight="1">
      <c r="A6" s="97"/>
      <c r="B6" s="98" t="s">
        <v>50</v>
      </c>
      <c r="C6" s="99">
        <v>12774581</v>
      </c>
      <c r="D6" s="99">
        <v>12109229</v>
      </c>
      <c r="E6" s="99">
        <v>12011116</v>
      </c>
      <c r="F6" s="99">
        <v>11764837</v>
      </c>
      <c r="G6" s="99">
        <v>11743419</v>
      </c>
      <c r="H6" s="100">
        <v>11711392</v>
      </c>
      <c r="I6" s="99">
        <v>11593505</v>
      </c>
      <c r="J6" s="100">
        <v>11421473</v>
      </c>
      <c r="K6" s="99">
        <v>11209740</v>
      </c>
      <c r="L6" s="99">
        <v>11042521</v>
      </c>
      <c r="M6" s="99">
        <v>11011319</v>
      </c>
      <c r="N6" s="99">
        <v>10913671</v>
      </c>
      <c r="O6" s="100">
        <v>10900804</v>
      </c>
      <c r="P6" s="101">
        <v>10881136</v>
      </c>
      <c r="Q6" s="101">
        <v>10828883</v>
      </c>
      <c r="R6" s="101">
        <v>10810759</v>
      </c>
      <c r="S6" s="101">
        <v>10801661</v>
      </c>
      <c r="T6" s="101">
        <v>10578688</v>
      </c>
      <c r="U6" s="102">
        <v>10516976</v>
      </c>
    </row>
    <row r="7" spans="1:21" ht="22.5" customHeight="1">
      <c r="A7" s="97"/>
      <c r="B7" s="98" t="s">
        <v>51</v>
      </c>
      <c r="C7" s="99">
        <v>11793326</v>
      </c>
      <c r="D7" s="99">
        <v>12182801</v>
      </c>
      <c r="E7" s="99">
        <v>11834609</v>
      </c>
      <c r="F7" s="99">
        <v>12228754</v>
      </c>
      <c r="G7" s="99">
        <v>12623329</v>
      </c>
      <c r="H7" s="100">
        <v>12306589</v>
      </c>
      <c r="I7" s="99">
        <v>12622597</v>
      </c>
      <c r="J7" s="100">
        <v>12891180</v>
      </c>
      <c r="K7" s="99">
        <v>11715649</v>
      </c>
      <c r="L7" s="99">
        <v>12014946</v>
      </c>
      <c r="M7" s="99">
        <v>12257051</v>
      </c>
      <c r="N7" s="99">
        <v>11943208</v>
      </c>
      <c r="O7" s="100">
        <v>12220403</v>
      </c>
      <c r="P7" s="101">
        <v>12495647</v>
      </c>
      <c r="Q7" s="101">
        <v>12263173</v>
      </c>
      <c r="R7" s="101">
        <v>12571506</v>
      </c>
      <c r="S7" s="101">
        <v>12892306</v>
      </c>
      <c r="T7" s="101">
        <v>12186473</v>
      </c>
      <c r="U7" s="102">
        <v>12971055</v>
      </c>
    </row>
    <row r="8" spans="1:21" ht="22.5" customHeight="1">
      <c r="A8" s="97"/>
      <c r="B8" s="98" t="s">
        <v>52</v>
      </c>
      <c r="C8" s="99">
        <v>2735578</v>
      </c>
      <c r="D8" s="99">
        <v>2659710</v>
      </c>
      <c r="E8" s="99">
        <v>2738906</v>
      </c>
      <c r="F8" s="99">
        <v>2720230</v>
      </c>
      <c r="G8" s="99">
        <v>2658700</v>
      </c>
      <c r="H8" s="100">
        <v>2579883</v>
      </c>
      <c r="I8" s="99">
        <v>2564511</v>
      </c>
      <c r="J8" s="100">
        <v>2498600</v>
      </c>
      <c r="K8" s="99">
        <v>2442100</v>
      </c>
      <c r="L8" s="99">
        <v>2431535</v>
      </c>
      <c r="M8" s="101">
        <v>2416911</v>
      </c>
      <c r="N8" s="101">
        <v>2480856</v>
      </c>
      <c r="O8" s="103">
        <v>2549960</v>
      </c>
      <c r="P8" s="103">
        <v>2568538</v>
      </c>
      <c r="Q8" s="103">
        <v>2592572</v>
      </c>
      <c r="R8" s="103">
        <v>2671263</v>
      </c>
      <c r="S8" s="103">
        <v>2658166</v>
      </c>
      <c r="T8" s="103">
        <v>2486988</v>
      </c>
      <c r="U8" s="104">
        <v>2634745</v>
      </c>
    </row>
    <row r="9" spans="1:21" ht="22.5" customHeight="1">
      <c r="A9" s="105"/>
      <c r="B9" s="106" t="s">
        <v>3</v>
      </c>
      <c r="C9" s="107">
        <f aca="true" t="shared" si="0" ref="C9:J9">SUM(C6:C8)</f>
        <v>27303485</v>
      </c>
      <c r="D9" s="107">
        <f t="shared" si="0"/>
        <v>26951740</v>
      </c>
      <c r="E9" s="107">
        <f t="shared" si="0"/>
        <v>26584631</v>
      </c>
      <c r="F9" s="107">
        <f t="shared" si="0"/>
        <v>26713821</v>
      </c>
      <c r="G9" s="107">
        <f t="shared" si="0"/>
        <v>27025448</v>
      </c>
      <c r="H9" s="108">
        <f t="shared" si="0"/>
        <v>26597864</v>
      </c>
      <c r="I9" s="107">
        <f t="shared" si="0"/>
        <v>26780613</v>
      </c>
      <c r="J9" s="108">
        <f t="shared" si="0"/>
        <v>26811253</v>
      </c>
      <c r="K9" s="107">
        <f aca="true" t="shared" si="1" ref="K9:Q9">SUM(K6:K8)</f>
        <v>25367489</v>
      </c>
      <c r="L9" s="107">
        <f t="shared" si="1"/>
        <v>25489002</v>
      </c>
      <c r="M9" s="107">
        <f t="shared" si="1"/>
        <v>25685281</v>
      </c>
      <c r="N9" s="107">
        <f t="shared" si="1"/>
        <v>25337735</v>
      </c>
      <c r="O9" s="108">
        <f t="shared" si="1"/>
        <v>25671167</v>
      </c>
      <c r="P9" s="109">
        <f>SUM(P6:P8)</f>
        <v>25945321</v>
      </c>
      <c r="Q9" s="109">
        <f t="shared" si="1"/>
        <v>25684628</v>
      </c>
      <c r="R9" s="109">
        <f>SUM(R6:R8)</f>
        <v>26053528</v>
      </c>
      <c r="S9" s="109">
        <f>SUM(S6:S8)</f>
        <v>26352133</v>
      </c>
      <c r="T9" s="109">
        <f>SUM(T6:T8)</f>
        <v>25252149</v>
      </c>
      <c r="U9" s="110">
        <f>SUM(U6:U8)</f>
        <v>26122776</v>
      </c>
    </row>
    <row r="10" spans="1:21" ht="22.5" customHeight="1">
      <c r="A10" s="631" t="s">
        <v>53</v>
      </c>
      <c r="B10" s="632"/>
      <c r="C10" s="99"/>
      <c r="D10" s="99"/>
      <c r="E10" s="99"/>
      <c r="F10" s="99"/>
      <c r="G10" s="99"/>
      <c r="H10" s="100"/>
      <c r="I10" s="99"/>
      <c r="J10" s="100"/>
      <c r="K10" s="99"/>
      <c r="L10" s="99"/>
      <c r="M10" s="99"/>
      <c r="N10" s="99"/>
      <c r="O10" s="100"/>
      <c r="P10" s="101"/>
      <c r="Q10" s="101"/>
      <c r="R10" s="101"/>
      <c r="S10" s="101"/>
      <c r="T10" s="101"/>
      <c r="U10" s="102"/>
    </row>
    <row r="11" spans="1:21" ht="22.5" customHeight="1">
      <c r="A11" s="633" t="s">
        <v>54</v>
      </c>
      <c r="B11" s="634"/>
      <c r="C11" s="99">
        <v>38361</v>
      </c>
      <c r="D11" s="99">
        <v>31895</v>
      </c>
      <c r="E11" s="99">
        <v>30402</v>
      </c>
      <c r="F11" s="99">
        <v>27975</v>
      </c>
      <c r="G11" s="99">
        <v>27330</v>
      </c>
      <c r="H11" s="100">
        <v>27135</v>
      </c>
      <c r="I11" s="99">
        <v>25142</v>
      </c>
      <c r="J11" s="100">
        <v>16225</v>
      </c>
      <c r="K11" s="99">
        <v>11748</v>
      </c>
      <c r="L11" s="99">
        <v>10731</v>
      </c>
      <c r="M11" s="99">
        <v>10301</v>
      </c>
      <c r="N11" s="99">
        <v>8963</v>
      </c>
      <c r="O11" s="100">
        <v>8219</v>
      </c>
      <c r="P11" s="101">
        <v>7327</v>
      </c>
      <c r="Q11" s="101">
        <v>7140</v>
      </c>
      <c r="R11" s="101">
        <v>7130</v>
      </c>
      <c r="S11" s="101">
        <v>6599</v>
      </c>
      <c r="T11" s="101">
        <v>7375</v>
      </c>
      <c r="U11" s="102">
        <v>7056</v>
      </c>
    </row>
    <row r="12" spans="1:21" ht="22.5" customHeight="1">
      <c r="A12" s="633" t="s">
        <v>55</v>
      </c>
      <c r="B12" s="634"/>
      <c r="C12" s="99">
        <v>86545</v>
      </c>
      <c r="D12" s="99">
        <v>85042</v>
      </c>
      <c r="E12" s="99">
        <v>83264</v>
      </c>
      <c r="F12" s="99">
        <v>81853</v>
      </c>
      <c r="G12" s="99">
        <v>64050</v>
      </c>
      <c r="H12" s="100">
        <v>63937</v>
      </c>
      <c r="I12" s="99">
        <v>60271</v>
      </c>
      <c r="J12" s="100">
        <v>59526</v>
      </c>
      <c r="K12" s="99">
        <v>57236</v>
      </c>
      <c r="L12" s="99">
        <v>54474</v>
      </c>
      <c r="M12" s="99">
        <v>53125</v>
      </c>
      <c r="N12" s="99">
        <v>51884</v>
      </c>
      <c r="O12" s="111">
        <v>49570</v>
      </c>
      <c r="P12" s="103">
        <v>49340</v>
      </c>
      <c r="Q12" s="103">
        <v>46571</v>
      </c>
      <c r="R12" s="103">
        <v>44819</v>
      </c>
      <c r="S12" s="103">
        <v>43610</v>
      </c>
      <c r="T12" s="103">
        <v>42374</v>
      </c>
      <c r="U12" s="104">
        <v>41236</v>
      </c>
    </row>
    <row r="13" spans="1:21" ht="22.5" customHeight="1">
      <c r="A13" s="105"/>
      <c r="B13" s="106" t="s">
        <v>3</v>
      </c>
      <c r="C13" s="107">
        <f aca="true" t="shared" si="2" ref="C13:Q13">C11+C12</f>
        <v>124906</v>
      </c>
      <c r="D13" s="107">
        <f t="shared" si="2"/>
        <v>116937</v>
      </c>
      <c r="E13" s="107">
        <f t="shared" si="2"/>
        <v>113666</v>
      </c>
      <c r="F13" s="107">
        <f t="shared" si="2"/>
        <v>109828</v>
      </c>
      <c r="G13" s="107">
        <f t="shared" si="2"/>
        <v>91380</v>
      </c>
      <c r="H13" s="108">
        <f t="shared" si="2"/>
        <v>91072</v>
      </c>
      <c r="I13" s="107">
        <f t="shared" si="2"/>
        <v>85413</v>
      </c>
      <c r="J13" s="108">
        <f t="shared" si="2"/>
        <v>75751</v>
      </c>
      <c r="K13" s="107">
        <f t="shared" si="2"/>
        <v>68984</v>
      </c>
      <c r="L13" s="107">
        <f t="shared" si="2"/>
        <v>65205</v>
      </c>
      <c r="M13" s="107">
        <f t="shared" si="2"/>
        <v>63426</v>
      </c>
      <c r="N13" s="107">
        <f t="shared" si="2"/>
        <v>60847</v>
      </c>
      <c r="O13" s="108">
        <f t="shared" si="2"/>
        <v>57789</v>
      </c>
      <c r="P13" s="109">
        <f>P11+P12</f>
        <v>56667</v>
      </c>
      <c r="Q13" s="109">
        <f t="shared" si="2"/>
        <v>53711</v>
      </c>
      <c r="R13" s="109">
        <f>R11+R12</f>
        <v>51949</v>
      </c>
      <c r="S13" s="109">
        <f>S11+S12</f>
        <v>50209</v>
      </c>
      <c r="T13" s="109">
        <f>T11+T12</f>
        <v>49749</v>
      </c>
      <c r="U13" s="110">
        <f>U11+U12</f>
        <v>48292</v>
      </c>
    </row>
    <row r="14" spans="1:21" ht="22.5" customHeight="1">
      <c r="A14" s="625" t="s">
        <v>56</v>
      </c>
      <c r="B14" s="626"/>
      <c r="C14" s="107">
        <f aca="true" t="shared" si="3" ref="C14:Q14">C9+C13</f>
        <v>27428391</v>
      </c>
      <c r="D14" s="107">
        <f t="shared" si="3"/>
        <v>27068677</v>
      </c>
      <c r="E14" s="107">
        <f t="shared" si="3"/>
        <v>26698297</v>
      </c>
      <c r="F14" s="107">
        <f t="shared" si="3"/>
        <v>26823649</v>
      </c>
      <c r="G14" s="107">
        <f t="shared" si="3"/>
        <v>27116828</v>
      </c>
      <c r="H14" s="108">
        <f t="shared" si="3"/>
        <v>26688936</v>
      </c>
      <c r="I14" s="107">
        <f>I9+I13</f>
        <v>26866026</v>
      </c>
      <c r="J14" s="108">
        <f t="shared" si="3"/>
        <v>26887004</v>
      </c>
      <c r="K14" s="107">
        <f t="shared" si="3"/>
        <v>25436473</v>
      </c>
      <c r="L14" s="107">
        <f t="shared" si="3"/>
        <v>25554207</v>
      </c>
      <c r="M14" s="107">
        <f t="shared" si="3"/>
        <v>25748707</v>
      </c>
      <c r="N14" s="107">
        <f t="shared" si="3"/>
        <v>25398582</v>
      </c>
      <c r="O14" s="108">
        <f t="shared" si="3"/>
        <v>25728956</v>
      </c>
      <c r="P14" s="109">
        <f>P9+P13</f>
        <v>26001988</v>
      </c>
      <c r="Q14" s="109">
        <f t="shared" si="3"/>
        <v>25738339</v>
      </c>
      <c r="R14" s="109">
        <f>R9+R13</f>
        <v>26105477</v>
      </c>
      <c r="S14" s="109">
        <f>S9+S13</f>
        <v>26402342</v>
      </c>
      <c r="T14" s="109">
        <f>T9+T13</f>
        <v>25301898</v>
      </c>
      <c r="U14" s="110">
        <f>U9+U13</f>
        <v>26171068</v>
      </c>
    </row>
    <row r="15" spans="1:21" ht="22.5" customHeight="1" thickBot="1">
      <c r="A15" s="617" t="s">
        <v>4</v>
      </c>
      <c r="B15" s="618"/>
      <c r="C15" s="112">
        <v>94.4</v>
      </c>
      <c r="D15" s="112">
        <f aca="true" t="shared" si="4" ref="D15:Q15">ROUND((D14/C14)*100,1)</f>
        <v>98.7</v>
      </c>
      <c r="E15" s="112">
        <f t="shared" si="4"/>
        <v>98.6</v>
      </c>
      <c r="F15" s="112">
        <f t="shared" si="4"/>
        <v>100.5</v>
      </c>
      <c r="G15" s="112">
        <f t="shared" si="4"/>
        <v>101.1</v>
      </c>
      <c r="H15" s="113">
        <f t="shared" si="4"/>
        <v>98.4</v>
      </c>
      <c r="I15" s="112">
        <f t="shared" si="4"/>
        <v>100.7</v>
      </c>
      <c r="J15" s="113">
        <f t="shared" si="4"/>
        <v>100.1</v>
      </c>
      <c r="K15" s="112">
        <f t="shared" si="4"/>
        <v>94.6</v>
      </c>
      <c r="L15" s="112">
        <f t="shared" si="4"/>
        <v>100.5</v>
      </c>
      <c r="M15" s="112">
        <f t="shared" si="4"/>
        <v>100.8</v>
      </c>
      <c r="N15" s="112">
        <f t="shared" si="4"/>
        <v>98.6</v>
      </c>
      <c r="O15" s="113">
        <f t="shared" si="4"/>
        <v>101.3</v>
      </c>
      <c r="P15" s="114">
        <f t="shared" si="4"/>
        <v>101.1</v>
      </c>
      <c r="Q15" s="114">
        <f t="shared" si="4"/>
        <v>99</v>
      </c>
      <c r="R15" s="114">
        <f>ROUND((R14/Q14)*100,1)</f>
        <v>101.4</v>
      </c>
      <c r="S15" s="114">
        <f>ROUND((S14/R14)*100,1)</f>
        <v>101.1</v>
      </c>
      <c r="T15" s="114">
        <f>ROUND((T14/S14)*100,1)</f>
        <v>95.8</v>
      </c>
      <c r="U15" s="115">
        <f>ROUND((U14/T14)*100,1)</f>
        <v>103.4</v>
      </c>
    </row>
    <row r="16" spans="1:21" ht="22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22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22.5" customHeight="1" thickBot="1">
      <c r="A18" s="82" t="s">
        <v>57</v>
      </c>
      <c r="B18" s="82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2"/>
      <c r="P18" s="82"/>
      <c r="Q18" s="82"/>
      <c r="R18" s="82"/>
      <c r="S18" s="82"/>
      <c r="T18" s="82"/>
      <c r="U18" s="82" t="s">
        <v>49</v>
      </c>
    </row>
    <row r="19" spans="1:21" ht="22.5" customHeight="1">
      <c r="A19" s="619" t="s">
        <v>13</v>
      </c>
      <c r="B19" s="620"/>
      <c r="C19" s="90" t="s">
        <v>36</v>
      </c>
      <c r="D19" s="88" t="s">
        <v>15</v>
      </c>
      <c r="E19" s="88" t="s">
        <v>37</v>
      </c>
      <c r="F19" s="88" t="s">
        <v>38</v>
      </c>
      <c r="G19" s="88" t="s">
        <v>39</v>
      </c>
      <c r="H19" s="89" t="s">
        <v>40</v>
      </c>
      <c r="I19" s="88" t="s">
        <v>41</v>
      </c>
      <c r="J19" s="89" t="s">
        <v>42</v>
      </c>
      <c r="K19" s="88" t="s">
        <v>16</v>
      </c>
      <c r="L19" s="88" t="s">
        <v>19</v>
      </c>
      <c r="M19" s="90" t="s">
        <v>21</v>
      </c>
      <c r="N19" s="90" t="s">
        <v>23</v>
      </c>
      <c r="O19" s="91" t="s">
        <v>24</v>
      </c>
      <c r="P19" s="91" t="s">
        <v>25</v>
      </c>
      <c r="Q19" s="91" t="s">
        <v>46</v>
      </c>
      <c r="R19" s="91" t="s">
        <v>29</v>
      </c>
      <c r="S19" s="91" t="s">
        <v>27</v>
      </c>
      <c r="T19" s="91" t="s">
        <v>30</v>
      </c>
      <c r="U19" s="92" t="s">
        <v>35</v>
      </c>
    </row>
    <row r="20" spans="1:21" ht="22.5" customHeight="1">
      <c r="A20" s="621" t="s">
        <v>7</v>
      </c>
      <c r="B20" s="622"/>
      <c r="C20" s="116">
        <v>3345433</v>
      </c>
      <c r="D20" s="116">
        <v>3144700</v>
      </c>
      <c r="E20" s="116">
        <v>2985047</v>
      </c>
      <c r="F20" s="116">
        <v>2916272</v>
      </c>
      <c r="G20" s="116">
        <v>2908768</v>
      </c>
      <c r="H20" s="117">
        <v>2903619</v>
      </c>
      <c r="I20" s="116">
        <v>2877717</v>
      </c>
      <c r="J20" s="117">
        <v>2956490</v>
      </c>
      <c r="K20" s="116">
        <v>2911310</v>
      </c>
      <c r="L20" s="116">
        <v>2880105</v>
      </c>
      <c r="M20" s="116">
        <v>2887060</v>
      </c>
      <c r="N20" s="116">
        <v>2881006</v>
      </c>
      <c r="O20" s="100">
        <v>2896324</v>
      </c>
      <c r="P20" s="101">
        <v>2912241</v>
      </c>
      <c r="Q20" s="101">
        <v>2922252</v>
      </c>
      <c r="R20" s="101">
        <v>2937831</v>
      </c>
      <c r="S20" s="101">
        <v>2952317</v>
      </c>
      <c r="T20" s="101">
        <v>2897201</v>
      </c>
      <c r="U20" s="102">
        <v>2894385</v>
      </c>
    </row>
    <row r="21" spans="1:21" ht="22.5" customHeight="1">
      <c r="A21" s="623" t="s">
        <v>8</v>
      </c>
      <c r="B21" s="624"/>
      <c r="C21" s="118">
        <v>2319809</v>
      </c>
      <c r="D21" s="118">
        <v>2397350</v>
      </c>
      <c r="E21" s="118">
        <v>2219446</v>
      </c>
      <c r="F21" s="118">
        <v>2290638</v>
      </c>
      <c r="G21" s="118">
        <v>2368654</v>
      </c>
      <c r="H21" s="119">
        <v>2315108</v>
      </c>
      <c r="I21" s="118">
        <v>2374991</v>
      </c>
      <c r="J21" s="119">
        <v>2566137</v>
      </c>
      <c r="K21" s="118">
        <v>2357786</v>
      </c>
      <c r="L21" s="118">
        <v>2443287</v>
      </c>
      <c r="M21" s="118">
        <v>2504207</v>
      </c>
      <c r="N21" s="118">
        <v>2456868</v>
      </c>
      <c r="O21" s="111">
        <v>2516152</v>
      </c>
      <c r="P21" s="103">
        <v>2572398</v>
      </c>
      <c r="Q21" s="103">
        <v>2523526</v>
      </c>
      <c r="R21" s="103">
        <v>2592624</v>
      </c>
      <c r="S21" s="103">
        <v>2663438</v>
      </c>
      <c r="T21" s="103">
        <v>2527010</v>
      </c>
      <c r="U21" s="104">
        <v>2692939</v>
      </c>
    </row>
    <row r="22" spans="1:21" ht="22.5" customHeight="1">
      <c r="A22" s="625" t="s">
        <v>56</v>
      </c>
      <c r="B22" s="626"/>
      <c r="C22" s="120">
        <f aca="true" t="shared" si="5" ref="C22:T22">C20+C21</f>
        <v>5665242</v>
      </c>
      <c r="D22" s="121">
        <f t="shared" si="5"/>
        <v>5542050</v>
      </c>
      <c r="E22" s="121">
        <f t="shared" si="5"/>
        <v>5204493</v>
      </c>
      <c r="F22" s="121">
        <f t="shared" si="5"/>
        <v>5206910</v>
      </c>
      <c r="G22" s="121">
        <f t="shared" si="5"/>
        <v>5277422</v>
      </c>
      <c r="H22" s="122">
        <f t="shared" si="5"/>
        <v>5218727</v>
      </c>
      <c r="I22" s="121">
        <f t="shared" si="5"/>
        <v>5252708</v>
      </c>
      <c r="J22" s="122">
        <f t="shared" si="5"/>
        <v>5522627</v>
      </c>
      <c r="K22" s="121">
        <f t="shared" si="5"/>
        <v>5269096</v>
      </c>
      <c r="L22" s="121">
        <f t="shared" si="5"/>
        <v>5323392</v>
      </c>
      <c r="M22" s="121">
        <f t="shared" si="5"/>
        <v>5391267</v>
      </c>
      <c r="N22" s="121">
        <f t="shared" si="5"/>
        <v>5337874</v>
      </c>
      <c r="O22" s="108">
        <f t="shared" si="5"/>
        <v>5412476</v>
      </c>
      <c r="P22" s="109">
        <f t="shared" si="5"/>
        <v>5484639</v>
      </c>
      <c r="Q22" s="109">
        <f t="shared" si="5"/>
        <v>5445778</v>
      </c>
      <c r="R22" s="109">
        <f t="shared" si="5"/>
        <v>5530455</v>
      </c>
      <c r="S22" s="109">
        <f t="shared" si="5"/>
        <v>5615755</v>
      </c>
      <c r="T22" s="109">
        <f t="shared" si="5"/>
        <v>5424211</v>
      </c>
      <c r="U22" s="110">
        <f>U20+U21</f>
        <v>5587324</v>
      </c>
    </row>
    <row r="23" spans="1:21" ht="22.5" customHeight="1" thickBot="1">
      <c r="A23" s="627" t="s">
        <v>4</v>
      </c>
      <c r="B23" s="628"/>
      <c r="C23" s="123">
        <v>93.4</v>
      </c>
      <c r="D23" s="124">
        <f aca="true" t="shared" si="6" ref="D23:Q23">ROUND((D22/C22)*100,1)</f>
        <v>97.8</v>
      </c>
      <c r="E23" s="124">
        <f t="shared" si="6"/>
        <v>93.9</v>
      </c>
      <c r="F23" s="124">
        <f t="shared" si="6"/>
        <v>100</v>
      </c>
      <c r="G23" s="124">
        <f t="shared" si="6"/>
        <v>101.4</v>
      </c>
      <c r="H23" s="125">
        <f t="shared" si="6"/>
        <v>98.9</v>
      </c>
      <c r="I23" s="124">
        <f t="shared" si="6"/>
        <v>100.7</v>
      </c>
      <c r="J23" s="125">
        <f t="shared" si="6"/>
        <v>105.1</v>
      </c>
      <c r="K23" s="124">
        <f t="shared" si="6"/>
        <v>95.4</v>
      </c>
      <c r="L23" s="124">
        <f t="shared" si="6"/>
        <v>101</v>
      </c>
      <c r="M23" s="126">
        <f t="shared" si="6"/>
        <v>101.3</v>
      </c>
      <c r="N23" s="126">
        <f t="shared" si="6"/>
        <v>99</v>
      </c>
      <c r="O23" s="113">
        <f t="shared" si="6"/>
        <v>101.4</v>
      </c>
      <c r="P23" s="114">
        <f t="shared" si="6"/>
        <v>101.3</v>
      </c>
      <c r="Q23" s="114">
        <f t="shared" si="6"/>
        <v>99.3</v>
      </c>
      <c r="R23" s="114">
        <f>ROUND((R22/Q22)*100,1)</f>
        <v>101.6</v>
      </c>
      <c r="S23" s="114">
        <f>ROUND((S22/R22)*100,1)</f>
        <v>101.5</v>
      </c>
      <c r="T23" s="114">
        <f>ROUND((T22/S22)*100,1)</f>
        <v>96.6</v>
      </c>
      <c r="U23" s="115">
        <f>ROUND((U22/T22)*100,1)</f>
        <v>103</v>
      </c>
    </row>
    <row r="24" spans="1:2" ht="22.5" customHeight="1">
      <c r="A24" s="616"/>
      <c r="B24" s="616"/>
    </row>
  </sheetData>
  <sheetProtection/>
  <mergeCells count="13">
    <mergeCell ref="A4:B4"/>
    <mergeCell ref="A5:B5"/>
    <mergeCell ref="A10:B10"/>
    <mergeCell ref="A11:B11"/>
    <mergeCell ref="A12:B12"/>
    <mergeCell ref="A14:B14"/>
    <mergeCell ref="A24:B24"/>
    <mergeCell ref="A15:B15"/>
    <mergeCell ref="A19:B19"/>
    <mergeCell ref="A20:B20"/>
    <mergeCell ref="A21:B21"/>
    <mergeCell ref="A22:B22"/>
    <mergeCell ref="A23:B23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showGridLines="0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0.25" customHeight="1"/>
  <cols>
    <col min="1" max="1" width="10.625" style="129" customWidth="1"/>
    <col min="2" max="2" width="8.625" style="129" customWidth="1"/>
    <col min="3" max="3" width="13.625" style="129" customWidth="1"/>
    <col min="4" max="4" width="13.625" style="129" bestFit="1" customWidth="1"/>
    <col min="5" max="7" width="15.375" style="129" bestFit="1" customWidth="1"/>
    <col min="8" max="9" width="11.125" style="129" bestFit="1" customWidth="1"/>
    <col min="10" max="10" width="16.50390625" style="129" bestFit="1" customWidth="1"/>
    <col min="11" max="14" width="11.00390625" style="129" bestFit="1" customWidth="1"/>
    <col min="15" max="16384" width="9.00390625" style="129" customWidth="1"/>
  </cols>
  <sheetData>
    <row r="1" spans="1:14" ht="27" customHeight="1">
      <c r="A1" s="127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7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0" t="s">
        <v>59</v>
      </c>
    </row>
    <row r="3" spans="1:14" ht="22.5" customHeight="1">
      <c r="A3" s="647" t="s">
        <v>60</v>
      </c>
      <c r="B3" s="648" t="s">
        <v>61</v>
      </c>
      <c r="C3" s="651" t="s">
        <v>62</v>
      </c>
      <c r="D3" s="642"/>
      <c r="E3" s="642" t="s">
        <v>63</v>
      </c>
      <c r="F3" s="642"/>
      <c r="G3" s="642" t="s">
        <v>64</v>
      </c>
      <c r="H3" s="642" t="s">
        <v>65</v>
      </c>
      <c r="I3" s="642"/>
      <c r="J3" s="131" t="s">
        <v>66</v>
      </c>
      <c r="K3" s="642" t="s">
        <v>67</v>
      </c>
      <c r="L3" s="642"/>
      <c r="M3" s="642"/>
      <c r="N3" s="643"/>
    </row>
    <row r="4" spans="1:14" ht="22.5" customHeight="1">
      <c r="A4" s="638"/>
      <c r="B4" s="649"/>
      <c r="C4" s="644" t="s">
        <v>68</v>
      </c>
      <c r="D4" s="644" t="s">
        <v>69</v>
      </c>
      <c r="E4" s="644" t="s">
        <v>70</v>
      </c>
      <c r="F4" s="644" t="s">
        <v>69</v>
      </c>
      <c r="G4" s="652"/>
      <c r="H4" s="644" t="s">
        <v>71</v>
      </c>
      <c r="I4" s="644" t="s">
        <v>69</v>
      </c>
      <c r="J4" s="644" t="s">
        <v>72</v>
      </c>
      <c r="K4" s="132" t="s">
        <v>73</v>
      </c>
      <c r="L4" s="132" t="s">
        <v>74</v>
      </c>
      <c r="M4" s="644" t="s">
        <v>75</v>
      </c>
      <c r="N4" s="133" t="s">
        <v>76</v>
      </c>
    </row>
    <row r="5" spans="1:14" ht="22.5" customHeight="1">
      <c r="A5" s="638"/>
      <c r="B5" s="650"/>
      <c r="C5" s="645"/>
      <c r="D5" s="645"/>
      <c r="E5" s="645"/>
      <c r="F5" s="645"/>
      <c r="G5" s="134" t="s">
        <v>77</v>
      </c>
      <c r="H5" s="645"/>
      <c r="I5" s="645"/>
      <c r="J5" s="646"/>
      <c r="K5" s="134" t="s">
        <v>78</v>
      </c>
      <c r="L5" s="134" t="s">
        <v>78</v>
      </c>
      <c r="M5" s="645"/>
      <c r="N5" s="135" t="s">
        <v>78</v>
      </c>
    </row>
    <row r="6" spans="1:14" ht="24.75" customHeight="1" hidden="1">
      <c r="A6" s="638" t="s">
        <v>79</v>
      </c>
      <c r="B6" s="132" t="s">
        <v>80</v>
      </c>
      <c r="C6" s="136">
        <v>41916611</v>
      </c>
      <c r="D6" s="137">
        <v>41778994</v>
      </c>
      <c r="E6" s="137">
        <v>3637693053</v>
      </c>
      <c r="F6" s="137">
        <v>3634919494</v>
      </c>
      <c r="G6" s="137">
        <v>1046895162</v>
      </c>
      <c r="H6" s="137">
        <v>267990</v>
      </c>
      <c r="I6" s="137">
        <v>264867</v>
      </c>
      <c r="J6" s="137">
        <f aca="true" t="shared" si="0" ref="J6:J19">ROUND((E6*1000)/C6,0)</f>
        <v>86784</v>
      </c>
      <c r="K6" s="138">
        <v>101</v>
      </c>
      <c r="L6" s="138">
        <v>93.6</v>
      </c>
      <c r="M6" s="138">
        <v>99.8</v>
      </c>
      <c r="N6" s="139">
        <v>101.1</v>
      </c>
    </row>
    <row r="7" spans="1:14" ht="24.75" customHeight="1" hidden="1">
      <c r="A7" s="638"/>
      <c r="B7" s="140" t="s">
        <v>81</v>
      </c>
      <c r="C7" s="141">
        <v>78126226</v>
      </c>
      <c r="D7" s="142">
        <v>71809883</v>
      </c>
      <c r="E7" s="142">
        <v>1137318297</v>
      </c>
      <c r="F7" s="142">
        <v>1126737593</v>
      </c>
      <c r="G7" s="142">
        <v>61086630</v>
      </c>
      <c r="H7" s="142">
        <v>96870</v>
      </c>
      <c r="I7" s="142">
        <v>89622</v>
      </c>
      <c r="J7" s="142">
        <f t="shared" si="0"/>
        <v>14557</v>
      </c>
      <c r="K7" s="143">
        <v>99.3</v>
      </c>
      <c r="L7" s="143">
        <v>92.3</v>
      </c>
      <c r="M7" s="143">
        <v>101.1</v>
      </c>
      <c r="N7" s="144">
        <v>98.8</v>
      </c>
    </row>
    <row r="8" spans="1:14" ht="24.75" customHeight="1" hidden="1">
      <c r="A8" s="638"/>
      <c r="B8" s="145" t="s">
        <v>3</v>
      </c>
      <c r="C8" s="146">
        <f>C6+C7</f>
        <v>120042837</v>
      </c>
      <c r="D8" s="147">
        <f aca="true" t="shared" si="1" ref="D8:I8">D6+D7</f>
        <v>113588877</v>
      </c>
      <c r="E8" s="147">
        <f t="shared" si="1"/>
        <v>4775011350</v>
      </c>
      <c r="F8" s="147">
        <f t="shared" si="1"/>
        <v>4761657087</v>
      </c>
      <c r="G8" s="147">
        <f t="shared" si="1"/>
        <v>1107981792</v>
      </c>
      <c r="H8" s="147">
        <f t="shared" si="1"/>
        <v>364860</v>
      </c>
      <c r="I8" s="147">
        <f t="shared" si="1"/>
        <v>354489</v>
      </c>
      <c r="J8" s="147">
        <f t="shared" si="0"/>
        <v>39778</v>
      </c>
      <c r="K8" s="148">
        <v>99.9</v>
      </c>
      <c r="L8" s="148">
        <v>93.3</v>
      </c>
      <c r="M8" s="148">
        <v>99.9</v>
      </c>
      <c r="N8" s="149">
        <v>100.5</v>
      </c>
    </row>
    <row r="9" spans="1:14" ht="30" customHeight="1" hidden="1">
      <c r="A9" s="638" t="s">
        <v>82</v>
      </c>
      <c r="B9" s="132" t="s">
        <v>80</v>
      </c>
      <c r="C9" s="141">
        <v>42219974</v>
      </c>
      <c r="D9" s="142">
        <v>42082025</v>
      </c>
      <c r="E9" s="142">
        <v>3323503205</v>
      </c>
      <c r="F9" s="142">
        <v>3321057537</v>
      </c>
      <c r="G9" s="137">
        <v>1024764583</v>
      </c>
      <c r="H9" s="142">
        <v>269655</v>
      </c>
      <c r="I9" s="142">
        <v>266465</v>
      </c>
      <c r="J9" s="142">
        <f t="shared" si="0"/>
        <v>78719</v>
      </c>
      <c r="K9" s="150">
        <f aca="true" t="shared" si="2" ref="K9:K17">ROUND((D9/D6)*100,1)</f>
        <v>100.7</v>
      </c>
      <c r="L9" s="150">
        <f aca="true" t="shared" si="3" ref="L9:M24">ROUND((F9/F6)*100,1)</f>
        <v>91.4</v>
      </c>
      <c r="M9" s="150">
        <f t="shared" si="3"/>
        <v>97.9</v>
      </c>
      <c r="N9" s="151">
        <f aca="true" t="shared" si="4" ref="N9:N17">ROUND((I9/I6)*100,1)</f>
        <v>100.6</v>
      </c>
    </row>
    <row r="10" spans="1:14" ht="30" customHeight="1" hidden="1">
      <c r="A10" s="638"/>
      <c r="B10" s="140" t="s">
        <v>81</v>
      </c>
      <c r="C10" s="141">
        <v>77484662</v>
      </c>
      <c r="D10" s="142">
        <v>71135638</v>
      </c>
      <c r="E10" s="142">
        <v>998417480</v>
      </c>
      <c r="F10" s="142">
        <v>989657183</v>
      </c>
      <c r="G10" s="142">
        <v>60914899</v>
      </c>
      <c r="H10" s="142">
        <v>95986</v>
      </c>
      <c r="I10" s="142">
        <v>88758</v>
      </c>
      <c r="J10" s="142">
        <f t="shared" si="0"/>
        <v>12885</v>
      </c>
      <c r="K10" s="150">
        <f t="shared" si="2"/>
        <v>99.1</v>
      </c>
      <c r="L10" s="150">
        <f t="shared" si="3"/>
        <v>87.8</v>
      </c>
      <c r="M10" s="150">
        <f t="shared" si="3"/>
        <v>99.7</v>
      </c>
      <c r="N10" s="151">
        <f t="shared" si="4"/>
        <v>99</v>
      </c>
    </row>
    <row r="11" spans="1:14" ht="30" customHeight="1" hidden="1">
      <c r="A11" s="638"/>
      <c r="B11" s="145" t="s">
        <v>3</v>
      </c>
      <c r="C11" s="136">
        <f aca="true" t="shared" si="5" ref="C11:I11">C9+C10</f>
        <v>119704636</v>
      </c>
      <c r="D11" s="137">
        <f t="shared" si="5"/>
        <v>113217663</v>
      </c>
      <c r="E11" s="137">
        <f t="shared" si="5"/>
        <v>4321920685</v>
      </c>
      <c r="F11" s="137">
        <f t="shared" si="5"/>
        <v>4310714720</v>
      </c>
      <c r="G11" s="137">
        <f t="shared" si="5"/>
        <v>1085679482</v>
      </c>
      <c r="H11" s="137">
        <f t="shared" si="5"/>
        <v>365641</v>
      </c>
      <c r="I11" s="137">
        <f t="shared" si="5"/>
        <v>355223</v>
      </c>
      <c r="J11" s="137">
        <f t="shared" si="0"/>
        <v>36105</v>
      </c>
      <c r="K11" s="152">
        <f t="shared" si="2"/>
        <v>99.7</v>
      </c>
      <c r="L11" s="152">
        <f t="shared" si="3"/>
        <v>90.5</v>
      </c>
      <c r="M11" s="152">
        <f t="shared" si="3"/>
        <v>98</v>
      </c>
      <c r="N11" s="153">
        <f t="shared" si="4"/>
        <v>100.2</v>
      </c>
    </row>
    <row r="12" spans="1:14" ht="30" customHeight="1" hidden="1">
      <c r="A12" s="638" t="s">
        <v>83</v>
      </c>
      <c r="B12" s="132" t="s">
        <v>80</v>
      </c>
      <c r="C12" s="136">
        <v>42616146</v>
      </c>
      <c r="D12" s="137">
        <v>42476942</v>
      </c>
      <c r="E12" s="137">
        <v>3038832640</v>
      </c>
      <c r="F12" s="137">
        <v>3036554854</v>
      </c>
      <c r="G12" s="137">
        <v>995171083</v>
      </c>
      <c r="H12" s="137">
        <v>272643</v>
      </c>
      <c r="I12" s="137">
        <v>269413</v>
      </c>
      <c r="J12" s="137">
        <f t="shared" si="0"/>
        <v>71307</v>
      </c>
      <c r="K12" s="152">
        <f t="shared" si="2"/>
        <v>100.9</v>
      </c>
      <c r="L12" s="152">
        <f t="shared" si="3"/>
        <v>91.4</v>
      </c>
      <c r="M12" s="152">
        <f t="shared" si="3"/>
        <v>97.1</v>
      </c>
      <c r="N12" s="153">
        <f t="shared" si="4"/>
        <v>101.1</v>
      </c>
    </row>
    <row r="13" spans="1:14" ht="30" customHeight="1" hidden="1">
      <c r="A13" s="638"/>
      <c r="B13" s="140" t="s">
        <v>81</v>
      </c>
      <c r="C13" s="141">
        <v>76730820</v>
      </c>
      <c r="D13" s="142">
        <v>70534270</v>
      </c>
      <c r="E13" s="142">
        <v>898079545</v>
      </c>
      <c r="F13" s="142">
        <v>890443379</v>
      </c>
      <c r="G13" s="142">
        <v>62600152</v>
      </c>
      <c r="H13" s="142">
        <v>94698</v>
      </c>
      <c r="I13" s="142">
        <v>87680</v>
      </c>
      <c r="J13" s="142">
        <f t="shared" si="0"/>
        <v>11704</v>
      </c>
      <c r="K13" s="150">
        <f t="shared" si="2"/>
        <v>99.2</v>
      </c>
      <c r="L13" s="150">
        <f t="shared" si="3"/>
        <v>90</v>
      </c>
      <c r="M13" s="150">
        <f t="shared" si="3"/>
        <v>102.8</v>
      </c>
      <c r="N13" s="151">
        <f t="shared" si="4"/>
        <v>98.8</v>
      </c>
    </row>
    <row r="14" spans="1:14" ht="30" customHeight="1" hidden="1">
      <c r="A14" s="638"/>
      <c r="B14" s="145" t="s">
        <v>3</v>
      </c>
      <c r="C14" s="146">
        <f aca="true" t="shared" si="6" ref="C14:I14">C12+C13</f>
        <v>119346966</v>
      </c>
      <c r="D14" s="147">
        <f t="shared" si="6"/>
        <v>113011212</v>
      </c>
      <c r="E14" s="147">
        <f t="shared" si="6"/>
        <v>3936912185</v>
      </c>
      <c r="F14" s="147">
        <f t="shared" si="6"/>
        <v>3926998233</v>
      </c>
      <c r="G14" s="147">
        <f t="shared" si="6"/>
        <v>1057771235</v>
      </c>
      <c r="H14" s="147">
        <f t="shared" si="6"/>
        <v>367341</v>
      </c>
      <c r="I14" s="147">
        <f t="shared" si="6"/>
        <v>357093</v>
      </c>
      <c r="J14" s="147">
        <f t="shared" si="0"/>
        <v>32987</v>
      </c>
      <c r="K14" s="154">
        <f t="shared" si="2"/>
        <v>99.8</v>
      </c>
      <c r="L14" s="154">
        <f t="shared" si="3"/>
        <v>91.1</v>
      </c>
      <c r="M14" s="154">
        <f t="shared" si="3"/>
        <v>97.4</v>
      </c>
      <c r="N14" s="155">
        <f t="shared" si="4"/>
        <v>100.5</v>
      </c>
    </row>
    <row r="15" spans="1:14" ht="30" customHeight="1" hidden="1">
      <c r="A15" s="635" t="s">
        <v>84</v>
      </c>
      <c r="B15" s="132" t="s">
        <v>80</v>
      </c>
      <c r="C15" s="136">
        <v>42895801</v>
      </c>
      <c r="D15" s="137">
        <v>42751682</v>
      </c>
      <c r="E15" s="137">
        <v>2777450007</v>
      </c>
      <c r="F15" s="137">
        <v>2775297331</v>
      </c>
      <c r="G15" s="137">
        <v>940728925</v>
      </c>
      <c r="H15" s="137">
        <v>275580</v>
      </c>
      <c r="I15" s="137">
        <v>272249</v>
      </c>
      <c r="J15" s="137">
        <f t="shared" si="0"/>
        <v>64749</v>
      </c>
      <c r="K15" s="152">
        <f t="shared" si="2"/>
        <v>100.6</v>
      </c>
      <c r="L15" s="152">
        <f t="shared" si="3"/>
        <v>91.4</v>
      </c>
      <c r="M15" s="152">
        <f t="shared" si="3"/>
        <v>94.5</v>
      </c>
      <c r="N15" s="153">
        <f t="shared" si="4"/>
        <v>101.1</v>
      </c>
    </row>
    <row r="16" spans="1:14" ht="30" customHeight="1" hidden="1">
      <c r="A16" s="636"/>
      <c r="B16" s="140" t="s">
        <v>81</v>
      </c>
      <c r="C16" s="141">
        <v>76311168</v>
      </c>
      <c r="D16" s="142">
        <v>70106072</v>
      </c>
      <c r="E16" s="142">
        <v>802516158</v>
      </c>
      <c r="F16" s="142">
        <v>796105725</v>
      </c>
      <c r="G16" s="142">
        <v>62746118</v>
      </c>
      <c r="H16" s="142">
        <v>93852</v>
      </c>
      <c r="I16" s="142">
        <v>86851</v>
      </c>
      <c r="J16" s="142">
        <f t="shared" si="0"/>
        <v>10516</v>
      </c>
      <c r="K16" s="150">
        <f t="shared" si="2"/>
        <v>99.4</v>
      </c>
      <c r="L16" s="150">
        <f t="shared" si="3"/>
        <v>89.4</v>
      </c>
      <c r="M16" s="150">
        <f t="shared" si="3"/>
        <v>100.2</v>
      </c>
      <c r="N16" s="151">
        <f t="shared" si="4"/>
        <v>99.1</v>
      </c>
    </row>
    <row r="17" spans="1:14" ht="30" customHeight="1" hidden="1">
      <c r="A17" s="637"/>
      <c r="B17" s="132" t="s">
        <v>3</v>
      </c>
      <c r="C17" s="136">
        <f aca="true" t="shared" si="7" ref="C17:I17">C15+C16</f>
        <v>119206969</v>
      </c>
      <c r="D17" s="137">
        <f t="shared" si="7"/>
        <v>112857754</v>
      </c>
      <c r="E17" s="137">
        <f t="shared" si="7"/>
        <v>3579966165</v>
      </c>
      <c r="F17" s="137">
        <f t="shared" si="7"/>
        <v>3571403056</v>
      </c>
      <c r="G17" s="137">
        <f t="shared" si="7"/>
        <v>1003475043</v>
      </c>
      <c r="H17" s="137">
        <f t="shared" si="7"/>
        <v>369432</v>
      </c>
      <c r="I17" s="137">
        <f t="shared" si="7"/>
        <v>359100</v>
      </c>
      <c r="J17" s="137">
        <f t="shared" si="0"/>
        <v>30032</v>
      </c>
      <c r="K17" s="152">
        <f t="shared" si="2"/>
        <v>99.9</v>
      </c>
      <c r="L17" s="152">
        <f t="shared" si="3"/>
        <v>90.9</v>
      </c>
      <c r="M17" s="152">
        <f t="shared" si="3"/>
        <v>94.9</v>
      </c>
      <c r="N17" s="153">
        <f t="shared" si="4"/>
        <v>100.6</v>
      </c>
    </row>
    <row r="18" spans="1:14" ht="30" customHeight="1" hidden="1">
      <c r="A18" s="639" t="s">
        <v>85</v>
      </c>
      <c r="B18" s="132" t="s">
        <v>80</v>
      </c>
      <c r="C18" s="136">
        <v>43170530</v>
      </c>
      <c r="D18" s="137">
        <v>43019234</v>
      </c>
      <c r="E18" s="137">
        <v>2524821386</v>
      </c>
      <c r="F18" s="137">
        <v>2522751807</v>
      </c>
      <c r="G18" s="137">
        <v>896629137</v>
      </c>
      <c r="H18" s="137">
        <v>277629</v>
      </c>
      <c r="I18" s="137">
        <v>274168</v>
      </c>
      <c r="J18" s="137">
        <f t="shared" si="0"/>
        <v>58485</v>
      </c>
      <c r="K18" s="152">
        <f>ROUND((D18/D15)*100,1)</f>
        <v>100.6</v>
      </c>
      <c r="L18" s="152">
        <f t="shared" si="3"/>
        <v>90.9</v>
      </c>
      <c r="M18" s="152">
        <f t="shared" si="3"/>
        <v>95.3</v>
      </c>
      <c r="N18" s="153">
        <f>ROUND((I18/I15)*100,1)</f>
        <v>100.7</v>
      </c>
    </row>
    <row r="19" spans="1:14" ht="30" customHeight="1" hidden="1">
      <c r="A19" s="640"/>
      <c r="B19" s="140" t="s">
        <v>81</v>
      </c>
      <c r="C19" s="141">
        <v>75934396</v>
      </c>
      <c r="D19" s="142">
        <v>69753830</v>
      </c>
      <c r="E19" s="142">
        <v>712689934</v>
      </c>
      <c r="F19" s="142">
        <v>707621337</v>
      </c>
      <c r="G19" s="142">
        <v>64316467</v>
      </c>
      <c r="H19" s="142">
        <v>93176</v>
      </c>
      <c r="I19" s="142">
        <v>86235</v>
      </c>
      <c r="J19" s="142">
        <f t="shared" si="0"/>
        <v>9386</v>
      </c>
      <c r="K19" s="150">
        <f>ROUND((D19/D16)*100,1)</f>
        <v>99.5</v>
      </c>
      <c r="L19" s="150">
        <f t="shared" si="3"/>
        <v>88.9</v>
      </c>
      <c r="M19" s="150">
        <f t="shared" si="3"/>
        <v>102.5</v>
      </c>
      <c r="N19" s="151">
        <f>ROUND((I19/I16)*100,1)</f>
        <v>99.3</v>
      </c>
    </row>
    <row r="20" spans="1:14" ht="30" customHeight="1" hidden="1">
      <c r="A20" s="641"/>
      <c r="B20" s="145" t="s">
        <v>3</v>
      </c>
      <c r="C20" s="156">
        <f aca="true" t="shared" si="8" ref="C20:I20">C18+C19</f>
        <v>119104926</v>
      </c>
      <c r="D20" s="137">
        <f t="shared" si="8"/>
        <v>112773064</v>
      </c>
      <c r="E20" s="137">
        <f t="shared" si="8"/>
        <v>3237511320</v>
      </c>
      <c r="F20" s="147">
        <f t="shared" si="8"/>
        <v>3230373144</v>
      </c>
      <c r="G20" s="147">
        <f t="shared" si="8"/>
        <v>960945604</v>
      </c>
      <c r="H20" s="147">
        <f t="shared" si="8"/>
        <v>370805</v>
      </c>
      <c r="I20" s="137">
        <f t="shared" si="8"/>
        <v>360403</v>
      </c>
      <c r="J20" s="137">
        <v>30032</v>
      </c>
      <c r="K20" s="152">
        <f>ROUND((D20/D17)*100,1)</f>
        <v>99.9</v>
      </c>
      <c r="L20" s="152">
        <f t="shared" si="3"/>
        <v>90.5</v>
      </c>
      <c r="M20" s="152">
        <f t="shared" si="3"/>
        <v>95.8</v>
      </c>
      <c r="N20" s="153">
        <f>ROUND((I20/I17)*100,1)</f>
        <v>100.4</v>
      </c>
    </row>
    <row r="21" spans="1:14" ht="30" customHeight="1" hidden="1">
      <c r="A21" s="635" t="s">
        <v>36</v>
      </c>
      <c r="B21" s="132" t="s">
        <v>80</v>
      </c>
      <c r="C21" s="137">
        <v>43509287</v>
      </c>
      <c r="D21" s="137">
        <v>43345427</v>
      </c>
      <c r="E21" s="137">
        <v>2314195452</v>
      </c>
      <c r="F21" s="137">
        <v>2312045685</v>
      </c>
      <c r="G21" s="137">
        <v>847831607</v>
      </c>
      <c r="H21" s="137">
        <v>280212</v>
      </c>
      <c r="I21" s="137">
        <v>276540</v>
      </c>
      <c r="J21" s="137">
        <f>ROUND((E21*1000)/C21,0)</f>
        <v>53189</v>
      </c>
      <c r="K21" s="152">
        <f>ROUND((D21/D18)*100,1)</f>
        <v>100.8</v>
      </c>
      <c r="L21" s="152">
        <f t="shared" si="3"/>
        <v>91.6</v>
      </c>
      <c r="M21" s="152">
        <f t="shared" si="3"/>
        <v>94.6</v>
      </c>
      <c r="N21" s="153">
        <f>ROUND((I21/I18)*100,1)</f>
        <v>100.9</v>
      </c>
    </row>
    <row r="22" spans="1:14" ht="30" customHeight="1" hidden="1">
      <c r="A22" s="636"/>
      <c r="B22" s="140" t="s">
        <v>81</v>
      </c>
      <c r="C22" s="141">
        <v>75634218</v>
      </c>
      <c r="D22" s="142">
        <v>69462277</v>
      </c>
      <c r="E22" s="142">
        <v>631082716</v>
      </c>
      <c r="F22" s="142">
        <v>626855407</v>
      </c>
      <c r="G22" s="142">
        <v>65526869</v>
      </c>
      <c r="H22" s="142">
        <v>92449</v>
      </c>
      <c r="I22" s="142">
        <v>85461</v>
      </c>
      <c r="J22" s="142">
        <f>ROUND((E22*1000)/C22,0)</f>
        <v>8344</v>
      </c>
      <c r="K22" s="150">
        <f aca="true" t="shared" si="9" ref="K22:K71">ROUND((D22/D19)*100,1)</f>
        <v>99.6</v>
      </c>
      <c r="L22" s="150">
        <f t="shared" si="3"/>
        <v>88.6</v>
      </c>
      <c r="M22" s="150">
        <f t="shared" si="3"/>
        <v>101.9</v>
      </c>
      <c r="N22" s="151">
        <f aca="true" t="shared" si="10" ref="N22:N71">ROUND((I22/I19)*100,1)</f>
        <v>99.1</v>
      </c>
    </row>
    <row r="23" spans="1:14" ht="30" customHeight="1" hidden="1">
      <c r="A23" s="637"/>
      <c r="B23" s="145" t="s">
        <v>3</v>
      </c>
      <c r="C23" s="157">
        <f aca="true" t="shared" si="11" ref="C23:I23">C21+C22</f>
        <v>119143505</v>
      </c>
      <c r="D23" s="147">
        <f t="shared" si="11"/>
        <v>112807704</v>
      </c>
      <c r="E23" s="147">
        <f t="shared" si="11"/>
        <v>2945278168</v>
      </c>
      <c r="F23" s="147">
        <f t="shared" si="11"/>
        <v>2938901092</v>
      </c>
      <c r="G23" s="147">
        <f t="shared" si="11"/>
        <v>913358476</v>
      </c>
      <c r="H23" s="147">
        <f t="shared" si="11"/>
        <v>372661</v>
      </c>
      <c r="I23" s="147">
        <f t="shared" si="11"/>
        <v>362001</v>
      </c>
      <c r="J23" s="147">
        <v>27182</v>
      </c>
      <c r="K23" s="154">
        <f t="shared" si="9"/>
        <v>100</v>
      </c>
      <c r="L23" s="154">
        <f t="shared" si="3"/>
        <v>91</v>
      </c>
      <c r="M23" s="154">
        <f t="shared" si="3"/>
        <v>95</v>
      </c>
      <c r="N23" s="155">
        <f t="shared" si="10"/>
        <v>100.4</v>
      </c>
    </row>
    <row r="24" spans="1:14" ht="30" customHeight="1" hidden="1">
      <c r="A24" s="635" t="s">
        <v>86</v>
      </c>
      <c r="B24" s="132" t="s">
        <v>80</v>
      </c>
      <c r="C24" s="137">
        <v>43907715</v>
      </c>
      <c r="D24" s="137">
        <v>43731358</v>
      </c>
      <c r="E24" s="137">
        <v>2131888719</v>
      </c>
      <c r="F24" s="137">
        <v>2129629920</v>
      </c>
      <c r="G24" s="137">
        <v>798084392</v>
      </c>
      <c r="H24" s="137">
        <v>282904</v>
      </c>
      <c r="I24" s="137">
        <v>278991</v>
      </c>
      <c r="J24" s="137">
        <f>ROUND((E24*1000)/C24,0)</f>
        <v>48554</v>
      </c>
      <c r="K24" s="152">
        <f t="shared" si="9"/>
        <v>100.9</v>
      </c>
      <c r="L24" s="152">
        <f t="shared" si="3"/>
        <v>92.1</v>
      </c>
      <c r="M24" s="152">
        <f t="shared" si="3"/>
        <v>94.1</v>
      </c>
      <c r="N24" s="153">
        <f t="shared" si="10"/>
        <v>100.9</v>
      </c>
    </row>
    <row r="25" spans="1:14" ht="30" customHeight="1" hidden="1">
      <c r="A25" s="636"/>
      <c r="B25" s="140" t="s">
        <v>81</v>
      </c>
      <c r="C25" s="141">
        <v>75286833</v>
      </c>
      <c r="D25" s="142">
        <v>69143905</v>
      </c>
      <c r="E25" s="142">
        <v>560176387</v>
      </c>
      <c r="F25" s="142">
        <v>556819435</v>
      </c>
      <c r="G25" s="142">
        <v>67585226</v>
      </c>
      <c r="H25" s="142">
        <v>91709</v>
      </c>
      <c r="I25" s="142">
        <v>84724</v>
      </c>
      <c r="J25" s="142">
        <f>ROUND((E25*1000)/C25,0)</f>
        <v>7441</v>
      </c>
      <c r="K25" s="150">
        <f t="shared" si="9"/>
        <v>99.5</v>
      </c>
      <c r="L25" s="150">
        <f aca="true" t="shared" si="12" ref="L25:M40">ROUND((F25/F22)*100,1)</f>
        <v>88.8</v>
      </c>
      <c r="M25" s="150">
        <f t="shared" si="12"/>
        <v>103.1</v>
      </c>
      <c r="N25" s="151">
        <f>ROUND((I25/I22)*100,1)</f>
        <v>99.1</v>
      </c>
    </row>
    <row r="26" spans="1:14" ht="30" customHeight="1" hidden="1">
      <c r="A26" s="637"/>
      <c r="B26" s="145" t="s">
        <v>3</v>
      </c>
      <c r="C26" s="157">
        <f aca="true" t="shared" si="13" ref="C26:I26">C24+C25</f>
        <v>119194548</v>
      </c>
      <c r="D26" s="147">
        <f t="shared" si="13"/>
        <v>112875263</v>
      </c>
      <c r="E26" s="147">
        <f t="shared" si="13"/>
        <v>2692065106</v>
      </c>
      <c r="F26" s="147">
        <f t="shared" si="13"/>
        <v>2686449355</v>
      </c>
      <c r="G26" s="147">
        <f t="shared" si="13"/>
        <v>865669618</v>
      </c>
      <c r="H26" s="147">
        <f t="shared" si="13"/>
        <v>374613</v>
      </c>
      <c r="I26" s="147">
        <f t="shared" si="13"/>
        <v>363715</v>
      </c>
      <c r="J26" s="147">
        <f>ROUND((E26*1000)/C26,0)</f>
        <v>22585</v>
      </c>
      <c r="K26" s="154">
        <f t="shared" si="9"/>
        <v>100.1</v>
      </c>
      <c r="L26" s="154">
        <f t="shared" si="12"/>
        <v>91.4</v>
      </c>
      <c r="M26" s="154">
        <f t="shared" si="12"/>
        <v>94.8</v>
      </c>
      <c r="N26" s="155">
        <f t="shared" si="10"/>
        <v>100.5</v>
      </c>
    </row>
    <row r="27" spans="1:14" ht="30" customHeight="1" hidden="1">
      <c r="A27" s="635" t="s">
        <v>37</v>
      </c>
      <c r="B27" s="132" t="s">
        <v>80</v>
      </c>
      <c r="C27" s="137">
        <v>46760901</v>
      </c>
      <c r="D27" s="137">
        <v>46565657</v>
      </c>
      <c r="E27" s="137">
        <v>2078536640</v>
      </c>
      <c r="F27" s="137">
        <v>2076078071</v>
      </c>
      <c r="G27" s="137">
        <v>786602694</v>
      </c>
      <c r="H27" s="137">
        <v>296705</v>
      </c>
      <c r="I27" s="137">
        <v>292392</v>
      </c>
      <c r="J27" s="137">
        <f aca="true" t="shared" si="14" ref="J27:J71">ROUND((E27*1000)/C27,0)</f>
        <v>44450</v>
      </c>
      <c r="K27" s="152">
        <f t="shared" si="9"/>
        <v>106.5</v>
      </c>
      <c r="L27" s="152">
        <f>ROUND((F27/F24)*100,1)</f>
        <v>97.5</v>
      </c>
      <c r="M27" s="152">
        <f t="shared" si="12"/>
        <v>98.6</v>
      </c>
      <c r="N27" s="153">
        <f t="shared" si="10"/>
        <v>104.8</v>
      </c>
    </row>
    <row r="28" spans="1:14" ht="30" customHeight="1" hidden="1">
      <c r="A28" s="636"/>
      <c r="B28" s="140" t="s">
        <v>81</v>
      </c>
      <c r="C28" s="141">
        <v>77897748</v>
      </c>
      <c r="D28" s="142">
        <v>71644644</v>
      </c>
      <c r="E28" s="142">
        <v>527449251</v>
      </c>
      <c r="F28" s="142">
        <v>524915568</v>
      </c>
      <c r="G28" s="142">
        <v>72214786</v>
      </c>
      <c r="H28" s="142">
        <v>96358</v>
      </c>
      <c r="I28" s="142">
        <v>89149</v>
      </c>
      <c r="J28" s="142">
        <f t="shared" si="14"/>
        <v>6771</v>
      </c>
      <c r="K28" s="150">
        <f t="shared" si="9"/>
        <v>103.6</v>
      </c>
      <c r="L28" s="150">
        <f t="shared" si="12"/>
        <v>94.3</v>
      </c>
      <c r="M28" s="150">
        <f t="shared" si="12"/>
        <v>106.8</v>
      </c>
      <c r="N28" s="151">
        <f t="shared" si="10"/>
        <v>105.2</v>
      </c>
    </row>
    <row r="29" spans="1:14" ht="30" customHeight="1" hidden="1">
      <c r="A29" s="637"/>
      <c r="B29" s="145" t="s">
        <v>3</v>
      </c>
      <c r="C29" s="157">
        <f aca="true" t="shared" si="15" ref="C29:I29">C27+C28</f>
        <v>124658649</v>
      </c>
      <c r="D29" s="147">
        <f t="shared" si="15"/>
        <v>118210301</v>
      </c>
      <c r="E29" s="147">
        <f t="shared" si="15"/>
        <v>2605985891</v>
      </c>
      <c r="F29" s="147">
        <f t="shared" si="15"/>
        <v>2600993639</v>
      </c>
      <c r="G29" s="147">
        <f t="shared" si="15"/>
        <v>858817480</v>
      </c>
      <c r="H29" s="147">
        <f t="shared" si="15"/>
        <v>393063</v>
      </c>
      <c r="I29" s="147">
        <f t="shared" si="15"/>
        <v>381541</v>
      </c>
      <c r="J29" s="147">
        <f t="shared" si="14"/>
        <v>20905</v>
      </c>
      <c r="K29" s="154">
        <f t="shared" si="9"/>
        <v>104.7</v>
      </c>
      <c r="L29" s="154">
        <f t="shared" si="12"/>
        <v>96.8</v>
      </c>
      <c r="M29" s="154">
        <f t="shared" si="12"/>
        <v>99.2</v>
      </c>
      <c r="N29" s="155">
        <f t="shared" si="10"/>
        <v>104.9</v>
      </c>
    </row>
    <row r="30" spans="1:14" ht="30" customHeight="1" hidden="1">
      <c r="A30" s="635" t="s">
        <v>38</v>
      </c>
      <c r="B30" s="132" t="s">
        <v>80</v>
      </c>
      <c r="C30" s="137">
        <v>47232164</v>
      </c>
      <c r="D30" s="137">
        <v>47026640</v>
      </c>
      <c r="E30" s="137">
        <v>2009912063</v>
      </c>
      <c r="F30" s="137">
        <v>2007378257</v>
      </c>
      <c r="G30" s="137">
        <v>766044679</v>
      </c>
      <c r="H30" s="137">
        <v>300541</v>
      </c>
      <c r="I30" s="137">
        <v>296033</v>
      </c>
      <c r="J30" s="137">
        <f t="shared" si="14"/>
        <v>42554</v>
      </c>
      <c r="K30" s="158">
        <f t="shared" si="9"/>
        <v>101</v>
      </c>
      <c r="L30" s="158">
        <f t="shared" si="12"/>
        <v>96.7</v>
      </c>
      <c r="M30" s="158">
        <f t="shared" si="12"/>
        <v>97.4</v>
      </c>
      <c r="N30" s="159">
        <f t="shared" si="10"/>
        <v>101.2</v>
      </c>
    </row>
    <row r="31" spans="1:14" ht="30" customHeight="1" hidden="1">
      <c r="A31" s="636"/>
      <c r="B31" s="140" t="s">
        <v>81</v>
      </c>
      <c r="C31" s="141">
        <v>77472603</v>
      </c>
      <c r="D31" s="142">
        <v>71261812</v>
      </c>
      <c r="E31" s="142">
        <v>491891745</v>
      </c>
      <c r="F31" s="142">
        <v>489802029</v>
      </c>
      <c r="G31" s="142">
        <v>76287742</v>
      </c>
      <c r="H31" s="142">
        <v>95469</v>
      </c>
      <c r="I31" s="142">
        <v>88366</v>
      </c>
      <c r="J31" s="142">
        <f t="shared" si="14"/>
        <v>6349</v>
      </c>
      <c r="K31" s="150">
        <f t="shared" si="9"/>
        <v>99.5</v>
      </c>
      <c r="L31" s="150">
        <f t="shared" si="12"/>
        <v>93.3</v>
      </c>
      <c r="M31" s="150">
        <f t="shared" si="12"/>
        <v>105.6</v>
      </c>
      <c r="N31" s="151">
        <f t="shared" si="10"/>
        <v>99.1</v>
      </c>
    </row>
    <row r="32" spans="1:14" ht="30" customHeight="1" hidden="1">
      <c r="A32" s="637"/>
      <c r="B32" s="145" t="s">
        <v>3</v>
      </c>
      <c r="C32" s="157">
        <f aca="true" t="shared" si="16" ref="C32:I32">C30+C31</f>
        <v>124704767</v>
      </c>
      <c r="D32" s="147">
        <f t="shared" si="16"/>
        <v>118288452</v>
      </c>
      <c r="E32" s="147">
        <f t="shared" si="16"/>
        <v>2501803808</v>
      </c>
      <c r="F32" s="147">
        <f t="shared" si="16"/>
        <v>2497180286</v>
      </c>
      <c r="G32" s="147">
        <f t="shared" si="16"/>
        <v>842332421</v>
      </c>
      <c r="H32" s="147">
        <f t="shared" si="16"/>
        <v>396010</v>
      </c>
      <c r="I32" s="147">
        <f t="shared" si="16"/>
        <v>384399</v>
      </c>
      <c r="J32" s="147">
        <f t="shared" si="14"/>
        <v>20062</v>
      </c>
      <c r="K32" s="154">
        <f t="shared" si="9"/>
        <v>100.1</v>
      </c>
      <c r="L32" s="154">
        <f t="shared" si="12"/>
        <v>96</v>
      </c>
      <c r="M32" s="154">
        <f t="shared" si="12"/>
        <v>98.1</v>
      </c>
      <c r="N32" s="155">
        <f t="shared" si="10"/>
        <v>100.7</v>
      </c>
    </row>
    <row r="33" spans="1:14" ht="30" customHeight="1" hidden="1">
      <c r="A33" s="160"/>
      <c r="B33" s="140" t="s">
        <v>80</v>
      </c>
      <c r="C33" s="141">
        <v>47659222</v>
      </c>
      <c r="D33" s="142">
        <v>47448735</v>
      </c>
      <c r="E33" s="142">
        <v>1990887004</v>
      </c>
      <c r="F33" s="142">
        <v>1988371100</v>
      </c>
      <c r="G33" s="142">
        <v>761777856</v>
      </c>
      <c r="H33" s="142">
        <v>303623</v>
      </c>
      <c r="I33" s="142">
        <v>299017</v>
      </c>
      <c r="J33" s="142">
        <f t="shared" si="14"/>
        <v>41773</v>
      </c>
      <c r="K33" s="161">
        <f t="shared" si="9"/>
        <v>100.9</v>
      </c>
      <c r="L33" s="161">
        <f t="shared" si="12"/>
        <v>99.1</v>
      </c>
      <c r="M33" s="161">
        <f t="shared" si="12"/>
        <v>99.4</v>
      </c>
      <c r="N33" s="162">
        <f t="shared" si="10"/>
        <v>101</v>
      </c>
    </row>
    <row r="34" spans="1:14" ht="30" customHeight="1" hidden="1">
      <c r="A34" s="160" t="s">
        <v>39</v>
      </c>
      <c r="B34" s="140" t="s">
        <v>81</v>
      </c>
      <c r="C34" s="141">
        <v>76923835</v>
      </c>
      <c r="D34" s="142">
        <v>70747283</v>
      </c>
      <c r="E34" s="142">
        <v>469327491</v>
      </c>
      <c r="F34" s="142">
        <v>467456509</v>
      </c>
      <c r="G34" s="142">
        <v>79864265</v>
      </c>
      <c r="H34" s="142">
        <v>94598</v>
      </c>
      <c r="I34" s="142">
        <v>87540</v>
      </c>
      <c r="J34" s="142">
        <f t="shared" si="14"/>
        <v>6101</v>
      </c>
      <c r="K34" s="161">
        <f t="shared" si="9"/>
        <v>99.3</v>
      </c>
      <c r="L34" s="161">
        <f t="shared" si="12"/>
        <v>95.4</v>
      </c>
      <c r="M34" s="161">
        <f t="shared" si="12"/>
        <v>104.7</v>
      </c>
      <c r="N34" s="162">
        <f t="shared" si="10"/>
        <v>99.1</v>
      </c>
    </row>
    <row r="35" spans="1:14" ht="30" customHeight="1" hidden="1">
      <c r="A35" s="163"/>
      <c r="B35" s="145" t="s">
        <v>3</v>
      </c>
      <c r="C35" s="146">
        <f aca="true" t="shared" si="17" ref="C35:I35">SUM(C33:C34)</f>
        <v>124583057</v>
      </c>
      <c r="D35" s="146">
        <f t="shared" si="17"/>
        <v>118196018</v>
      </c>
      <c r="E35" s="146">
        <f t="shared" si="17"/>
        <v>2460214495</v>
      </c>
      <c r="F35" s="146">
        <f t="shared" si="17"/>
        <v>2455827609</v>
      </c>
      <c r="G35" s="147">
        <f t="shared" si="17"/>
        <v>841642121</v>
      </c>
      <c r="H35" s="147">
        <f t="shared" si="17"/>
        <v>398221</v>
      </c>
      <c r="I35" s="146">
        <f t="shared" si="17"/>
        <v>386557</v>
      </c>
      <c r="J35" s="147">
        <f t="shared" si="14"/>
        <v>19748</v>
      </c>
      <c r="K35" s="148">
        <f t="shared" si="9"/>
        <v>99.9</v>
      </c>
      <c r="L35" s="148">
        <f t="shared" si="12"/>
        <v>98.3</v>
      </c>
      <c r="M35" s="148">
        <f t="shared" si="12"/>
        <v>99.9</v>
      </c>
      <c r="N35" s="149">
        <f t="shared" si="10"/>
        <v>100.6</v>
      </c>
    </row>
    <row r="36" spans="1:14" ht="30" customHeight="1" hidden="1">
      <c r="A36" s="160"/>
      <c r="B36" s="140" t="s">
        <v>80</v>
      </c>
      <c r="C36" s="141">
        <v>48044928</v>
      </c>
      <c r="D36" s="142">
        <v>47827133</v>
      </c>
      <c r="E36" s="142">
        <v>1988174094</v>
      </c>
      <c r="F36" s="142">
        <v>1985599550</v>
      </c>
      <c r="G36" s="142">
        <v>756931754</v>
      </c>
      <c r="H36" s="142">
        <v>305372</v>
      </c>
      <c r="I36" s="142">
        <v>300700</v>
      </c>
      <c r="J36" s="142">
        <f t="shared" si="14"/>
        <v>41382</v>
      </c>
      <c r="K36" s="161">
        <f t="shared" si="9"/>
        <v>100.8</v>
      </c>
      <c r="L36" s="161">
        <f t="shared" si="12"/>
        <v>99.9</v>
      </c>
      <c r="M36" s="161">
        <f t="shared" si="12"/>
        <v>99.4</v>
      </c>
      <c r="N36" s="162">
        <f t="shared" si="10"/>
        <v>100.6</v>
      </c>
    </row>
    <row r="37" spans="1:14" ht="30" customHeight="1" hidden="1">
      <c r="A37" s="160" t="s">
        <v>40</v>
      </c>
      <c r="B37" s="140" t="s">
        <v>81</v>
      </c>
      <c r="C37" s="141">
        <v>76101296</v>
      </c>
      <c r="D37" s="142">
        <v>69543162</v>
      </c>
      <c r="E37" s="142">
        <v>447652695</v>
      </c>
      <c r="F37" s="142">
        <v>445923809</v>
      </c>
      <c r="G37" s="142">
        <v>82415353</v>
      </c>
      <c r="H37" s="142">
        <v>93390</v>
      </c>
      <c r="I37" s="142">
        <v>86281</v>
      </c>
      <c r="J37" s="142">
        <f t="shared" si="14"/>
        <v>5882</v>
      </c>
      <c r="K37" s="161">
        <f t="shared" si="9"/>
        <v>98.3</v>
      </c>
      <c r="L37" s="161">
        <f t="shared" si="12"/>
        <v>95.4</v>
      </c>
      <c r="M37" s="161">
        <f t="shared" si="12"/>
        <v>103.2</v>
      </c>
      <c r="N37" s="162">
        <f t="shared" si="10"/>
        <v>98.6</v>
      </c>
    </row>
    <row r="38" spans="1:14" ht="30" customHeight="1" hidden="1">
      <c r="A38" s="163"/>
      <c r="B38" s="145" t="s">
        <v>3</v>
      </c>
      <c r="C38" s="146">
        <f aca="true" t="shared" si="18" ref="C38:I38">SUM(C36:C37)</f>
        <v>124146224</v>
      </c>
      <c r="D38" s="146">
        <f t="shared" si="18"/>
        <v>117370295</v>
      </c>
      <c r="E38" s="146">
        <f t="shared" si="18"/>
        <v>2435826789</v>
      </c>
      <c r="F38" s="146">
        <f t="shared" si="18"/>
        <v>2431523359</v>
      </c>
      <c r="G38" s="147">
        <f>SUM(G36:G37)</f>
        <v>839347107</v>
      </c>
      <c r="H38" s="147">
        <f t="shared" si="18"/>
        <v>398762</v>
      </c>
      <c r="I38" s="146">
        <f t="shared" si="18"/>
        <v>386981</v>
      </c>
      <c r="J38" s="147">
        <f t="shared" si="14"/>
        <v>19621</v>
      </c>
      <c r="K38" s="148">
        <f t="shared" si="9"/>
        <v>99.3</v>
      </c>
      <c r="L38" s="148">
        <f t="shared" si="12"/>
        <v>99</v>
      </c>
      <c r="M38" s="148">
        <f t="shared" si="12"/>
        <v>99.7</v>
      </c>
      <c r="N38" s="149">
        <f t="shared" si="10"/>
        <v>100.1</v>
      </c>
    </row>
    <row r="39" spans="1:14" ht="30" customHeight="1" hidden="1">
      <c r="A39" s="160"/>
      <c r="B39" s="140" t="s">
        <v>80</v>
      </c>
      <c r="C39" s="141">
        <v>48312561</v>
      </c>
      <c r="D39" s="142">
        <v>48087692</v>
      </c>
      <c r="E39" s="142">
        <v>1949631120</v>
      </c>
      <c r="F39" s="142">
        <v>1947036008</v>
      </c>
      <c r="G39" s="142">
        <v>744238778</v>
      </c>
      <c r="H39" s="142">
        <v>307024</v>
      </c>
      <c r="I39" s="142">
        <v>302246</v>
      </c>
      <c r="J39" s="142">
        <f t="shared" si="14"/>
        <v>40355</v>
      </c>
      <c r="K39" s="161">
        <f t="shared" si="9"/>
        <v>100.5</v>
      </c>
      <c r="L39" s="161">
        <f t="shared" si="12"/>
        <v>98.1</v>
      </c>
      <c r="M39" s="161">
        <f t="shared" si="12"/>
        <v>98.3</v>
      </c>
      <c r="N39" s="162">
        <f t="shared" si="10"/>
        <v>100.5</v>
      </c>
    </row>
    <row r="40" spans="1:14" ht="30" customHeight="1" hidden="1">
      <c r="A40" s="160" t="s">
        <v>41</v>
      </c>
      <c r="B40" s="140" t="s">
        <v>81</v>
      </c>
      <c r="C40" s="141">
        <v>75642990</v>
      </c>
      <c r="D40" s="142">
        <v>69108151</v>
      </c>
      <c r="E40" s="142">
        <v>429176971</v>
      </c>
      <c r="F40" s="142">
        <v>427676898</v>
      </c>
      <c r="G40" s="142">
        <v>86672894</v>
      </c>
      <c r="H40" s="142">
        <v>92671</v>
      </c>
      <c r="I40" s="142">
        <v>85628</v>
      </c>
      <c r="J40" s="142">
        <f t="shared" si="14"/>
        <v>5674</v>
      </c>
      <c r="K40" s="161">
        <f t="shared" si="9"/>
        <v>99.4</v>
      </c>
      <c r="L40" s="161">
        <f t="shared" si="12"/>
        <v>95.9</v>
      </c>
      <c r="M40" s="161">
        <f t="shared" si="12"/>
        <v>105.2</v>
      </c>
      <c r="N40" s="162">
        <f t="shared" si="10"/>
        <v>99.2</v>
      </c>
    </row>
    <row r="41" spans="1:14" ht="30" customHeight="1" hidden="1">
      <c r="A41" s="163"/>
      <c r="B41" s="145" t="s">
        <v>3</v>
      </c>
      <c r="C41" s="146">
        <f aca="true" t="shared" si="19" ref="C41:I41">SUM(C39:C40)</f>
        <v>123955551</v>
      </c>
      <c r="D41" s="146">
        <f t="shared" si="19"/>
        <v>117195843</v>
      </c>
      <c r="E41" s="146">
        <f t="shared" si="19"/>
        <v>2378808091</v>
      </c>
      <c r="F41" s="146">
        <f t="shared" si="19"/>
        <v>2374712906</v>
      </c>
      <c r="G41" s="147">
        <f t="shared" si="19"/>
        <v>830911672</v>
      </c>
      <c r="H41" s="147">
        <f t="shared" si="19"/>
        <v>399695</v>
      </c>
      <c r="I41" s="146">
        <f t="shared" si="19"/>
        <v>387874</v>
      </c>
      <c r="J41" s="147">
        <f t="shared" si="14"/>
        <v>19191</v>
      </c>
      <c r="K41" s="148">
        <f t="shared" si="9"/>
        <v>99.9</v>
      </c>
      <c r="L41" s="148">
        <f aca="true" t="shared" si="20" ref="L41:M56">ROUND((F41/F38)*100,1)</f>
        <v>97.7</v>
      </c>
      <c r="M41" s="148">
        <f t="shared" si="20"/>
        <v>99</v>
      </c>
      <c r="N41" s="149">
        <f t="shared" si="10"/>
        <v>100.2</v>
      </c>
    </row>
    <row r="42" spans="1:14" ht="30" customHeight="1" hidden="1">
      <c r="A42" s="160"/>
      <c r="B42" s="140" t="s">
        <v>80</v>
      </c>
      <c r="C42" s="141">
        <v>48575014</v>
      </c>
      <c r="D42" s="142">
        <v>48338591</v>
      </c>
      <c r="E42" s="142">
        <v>1900612172</v>
      </c>
      <c r="F42" s="142">
        <v>1897935657</v>
      </c>
      <c r="G42" s="142">
        <v>727975065</v>
      </c>
      <c r="H42" s="142">
        <v>308709</v>
      </c>
      <c r="I42" s="142">
        <v>303745</v>
      </c>
      <c r="J42" s="142">
        <f t="shared" si="14"/>
        <v>39127</v>
      </c>
      <c r="K42" s="161">
        <f t="shared" si="9"/>
        <v>100.5</v>
      </c>
      <c r="L42" s="161">
        <f t="shared" si="20"/>
        <v>97.5</v>
      </c>
      <c r="M42" s="161">
        <f t="shared" si="20"/>
        <v>97.8</v>
      </c>
      <c r="N42" s="162">
        <f t="shared" si="10"/>
        <v>100.5</v>
      </c>
    </row>
    <row r="43" spans="1:14" ht="30" customHeight="1" hidden="1">
      <c r="A43" s="164" t="s">
        <v>42</v>
      </c>
      <c r="B43" s="140" t="s">
        <v>81</v>
      </c>
      <c r="C43" s="141">
        <v>75366119</v>
      </c>
      <c r="D43" s="141">
        <v>68815418</v>
      </c>
      <c r="E43" s="141">
        <v>406957990</v>
      </c>
      <c r="F43" s="141">
        <v>405641315</v>
      </c>
      <c r="G43" s="142">
        <v>90395667</v>
      </c>
      <c r="H43" s="142">
        <v>91888</v>
      </c>
      <c r="I43" s="142">
        <v>84877</v>
      </c>
      <c r="J43" s="142">
        <f t="shared" si="14"/>
        <v>5400</v>
      </c>
      <c r="K43" s="161">
        <f>ROUND((D43/D40)*100,1)</f>
        <v>99.6</v>
      </c>
      <c r="L43" s="161">
        <f t="shared" si="20"/>
        <v>94.8</v>
      </c>
      <c r="M43" s="161">
        <f t="shared" si="20"/>
        <v>104.3</v>
      </c>
      <c r="N43" s="162">
        <f t="shared" si="10"/>
        <v>99.1</v>
      </c>
    </row>
    <row r="44" spans="1:14" ht="30" customHeight="1" hidden="1">
      <c r="A44" s="163"/>
      <c r="B44" s="145" t="s">
        <v>3</v>
      </c>
      <c r="C44" s="146">
        <v>123955551</v>
      </c>
      <c r="D44" s="146">
        <v>117195843</v>
      </c>
      <c r="E44" s="146">
        <v>2378808091</v>
      </c>
      <c r="F44" s="146">
        <v>2374712906</v>
      </c>
      <c r="G44" s="147">
        <v>830911672</v>
      </c>
      <c r="H44" s="147">
        <f>SUM(H42:H43)</f>
        <v>400597</v>
      </c>
      <c r="I44" s="146">
        <f>SUM(I42:I43)</f>
        <v>388622</v>
      </c>
      <c r="J44" s="147">
        <f t="shared" si="14"/>
        <v>19191</v>
      </c>
      <c r="K44" s="148">
        <f t="shared" si="9"/>
        <v>100</v>
      </c>
      <c r="L44" s="148">
        <f t="shared" si="20"/>
        <v>100</v>
      </c>
      <c r="M44" s="148">
        <f t="shared" si="20"/>
        <v>100</v>
      </c>
      <c r="N44" s="149">
        <f t="shared" si="10"/>
        <v>100.2</v>
      </c>
    </row>
    <row r="45" spans="1:14" ht="30" customHeight="1" hidden="1">
      <c r="A45" s="160"/>
      <c r="B45" s="140" t="s">
        <v>80</v>
      </c>
      <c r="C45" s="141">
        <v>48895222</v>
      </c>
      <c r="D45" s="142">
        <v>48648101</v>
      </c>
      <c r="E45" s="142">
        <v>1859106461</v>
      </c>
      <c r="F45" s="142">
        <v>1856303902</v>
      </c>
      <c r="G45" s="142">
        <v>709349702</v>
      </c>
      <c r="H45" s="142">
        <v>310907</v>
      </c>
      <c r="I45" s="142">
        <v>305814</v>
      </c>
      <c r="J45" s="142">
        <f t="shared" si="14"/>
        <v>38022</v>
      </c>
      <c r="K45" s="161">
        <f t="shared" si="9"/>
        <v>100.6</v>
      </c>
      <c r="L45" s="161">
        <f t="shared" si="20"/>
        <v>97.8</v>
      </c>
      <c r="M45" s="161">
        <f t="shared" si="20"/>
        <v>97.4</v>
      </c>
      <c r="N45" s="162">
        <f t="shared" si="10"/>
        <v>100.7</v>
      </c>
    </row>
    <row r="46" spans="1:14" ht="30" customHeight="1" hidden="1">
      <c r="A46" s="160" t="s">
        <v>87</v>
      </c>
      <c r="B46" s="140" t="s">
        <v>81</v>
      </c>
      <c r="C46" s="141">
        <v>74887925</v>
      </c>
      <c r="D46" s="141">
        <v>68341391</v>
      </c>
      <c r="E46" s="141">
        <v>385451866</v>
      </c>
      <c r="F46" s="141">
        <v>384301983</v>
      </c>
      <c r="G46" s="141">
        <v>93923107</v>
      </c>
      <c r="H46" s="142">
        <v>91038</v>
      </c>
      <c r="I46" s="142">
        <v>84080</v>
      </c>
      <c r="J46" s="142">
        <f t="shared" si="14"/>
        <v>5147</v>
      </c>
      <c r="K46" s="161">
        <f t="shared" si="9"/>
        <v>99.3</v>
      </c>
      <c r="L46" s="161">
        <f t="shared" si="20"/>
        <v>94.7</v>
      </c>
      <c r="M46" s="161">
        <f t="shared" si="20"/>
        <v>103.9</v>
      </c>
      <c r="N46" s="162">
        <f t="shared" si="10"/>
        <v>99.1</v>
      </c>
    </row>
    <row r="47" spans="1:14" ht="30" customHeight="1" hidden="1">
      <c r="A47" s="163"/>
      <c r="B47" s="145" t="s">
        <v>3</v>
      </c>
      <c r="C47" s="147">
        <f aca="true" t="shared" si="21" ref="C47:I47">SUM(C45:C46)</f>
        <v>123783147</v>
      </c>
      <c r="D47" s="147">
        <f t="shared" si="21"/>
        <v>116989492</v>
      </c>
      <c r="E47" s="147">
        <f t="shared" si="21"/>
        <v>2244558327</v>
      </c>
      <c r="F47" s="147">
        <f t="shared" si="21"/>
        <v>2240605885</v>
      </c>
      <c r="G47" s="147">
        <f t="shared" si="21"/>
        <v>803272809</v>
      </c>
      <c r="H47" s="147">
        <f t="shared" si="21"/>
        <v>401945</v>
      </c>
      <c r="I47" s="147">
        <f t="shared" si="21"/>
        <v>389894</v>
      </c>
      <c r="J47" s="147">
        <f t="shared" si="14"/>
        <v>18133</v>
      </c>
      <c r="K47" s="148">
        <f t="shared" si="9"/>
        <v>99.8</v>
      </c>
      <c r="L47" s="148">
        <f t="shared" si="20"/>
        <v>94.4</v>
      </c>
      <c r="M47" s="148">
        <f t="shared" si="20"/>
        <v>96.7</v>
      </c>
      <c r="N47" s="149">
        <f t="shared" si="10"/>
        <v>100.3</v>
      </c>
    </row>
    <row r="48" spans="1:14" ht="30" customHeight="1" hidden="1">
      <c r="A48" s="160"/>
      <c r="B48" s="140" t="s">
        <v>88</v>
      </c>
      <c r="C48" s="141">
        <v>49164098</v>
      </c>
      <c r="D48" s="142">
        <v>48900877</v>
      </c>
      <c r="E48" s="142">
        <v>1824147415</v>
      </c>
      <c r="F48" s="142">
        <v>1821200559</v>
      </c>
      <c r="G48" s="142">
        <v>695217172</v>
      </c>
      <c r="H48" s="142">
        <v>313361</v>
      </c>
      <c r="I48" s="142">
        <v>308056</v>
      </c>
      <c r="J48" s="142">
        <f t="shared" si="14"/>
        <v>37103</v>
      </c>
      <c r="K48" s="143">
        <f t="shared" si="9"/>
        <v>100.5</v>
      </c>
      <c r="L48" s="143">
        <f t="shared" si="20"/>
        <v>98.1</v>
      </c>
      <c r="M48" s="143">
        <f t="shared" si="20"/>
        <v>98</v>
      </c>
      <c r="N48" s="144">
        <f t="shared" si="10"/>
        <v>100.7</v>
      </c>
    </row>
    <row r="49" spans="1:14" ht="30" customHeight="1" hidden="1">
      <c r="A49" s="160" t="s">
        <v>89</v>
      </c>
      <c r="B49" s="165" t="s">
        <v>90</v>
      </c>
      <c r="C49" s="166">
        <v>74676862</v>
      </c>
      <c r="D49" s="167">
        <v>68149428</v>
      </c>
      <c r="E49" s="167">
        <v>366660864</v>
      </c>
      <c r="F49" s="167">
        <v>365685224</v>
      </c>
      <c r="G49" s="167">
        <v>96225062</v>
      </c>
      <c r="H49" s="167">
        <v>90381</v>
      </c>
      <c r="I49" s="167">
        <v>83460</v>
      </c>
      <c r="J49" s="167">
        <f t="shared" si="14"/>
        <v>4910</v>
      </c>
      <c r="K49" s="168">
        <f t="shared" si="9"/>
        <v>99.7</v>
      </c>
      <c r="L49" s="168">
        <f t="shared" si="20"/>
        <v>95.2</v>
      </c>
      <c r="M49" s="168">
        <f t="shared" si="20"/>
        <v>102.5</v>
      </c>
      <c r="N49" s="169">
        <f t="shared" si="10"/>
        <v>99.3</v>
      </c>
    </row>
    <row r="50" spans="1:14" ht="30" customHeight="1" hidden="1">
      <c r="A50" s="163"/>
      <c r="B50" s="165" t="s">
        <v>91</v>
      </c>
      <c r="C50" s="166">
        <f aca="true" t="shared" si="22" ref="C50:I50">SUM(C48:C49)</f>
        <v>123840960</v>
      </c>
      <c r="D50" s="167">
        <f t="shared" si="22"/>
        <v>117050305</v>
      </c>
      <c r="E50" s="167">
        <f t="shared" si="22"/>
        <v>2190808279</v>
      </c>
      <c r="F50" s="167">
        <f t="shared" si="22"/>
        <v>2186885783</v>
      </c>
      <c r="G50" s="167">
        <f t="shared" si="22"/>
        <v>791442234</v>
      </c>
      <c r="H50" s="167">
        <f t="shared" si="22"/>
        <v>403742</v>
      </c>
      <c r="I50" s="167">
        <f t="shared" si="22"/>
        <v>391516</v>
      </c>
      <c r="J50" s="167">
        <f t="shared" si="14"/>
        <v>17690</v>
      </c>
      <c r="K50" s="168">
        <f t="shared" si="9"/>
        <v>100.1</v>
      </c>
      <c r="L50" s="168">
        <f t="shared" si="20"/>
        <v>97.6</v>
      </c>
      <c r="M50" s="168">
        <f t="shared" si="20"/>
        <v>98.5</v>
      </c>
      <c r="N50" s="169">
        <f t="shared" si="10"/>
        <v>100.4</v>
      </c>
    </row>
    <row r="51" spans="1:14" ht="30" customHeight="1" hidden="1">
      <c r="A51" s="160"/>
      <c r="B51" s="140" t="s">
        <v>88</v>
      </c>
      <c r="C51" s="141">
        <v>49599644</v>
      </c>
      <c r="D51" s="142">
        <v>49325917</v>
      </c>
      <c r="E51" s="142">
        <v>1816342689</v>
      </c>
      <c r="F51" s="142">
        <v>1813330262</v>
      </c>
      <c r="G51" s="142">
        <v>691647670</v>
      </c>
      <c r="H51" s="142">
        <v>304936</v>
      </c>
      <c r="I51" s="142">
        <v>299521</v>
      </c>
      <c r="J51" s="142">
        <f t="shared" si="14"/>
        <v>36620</v>
      </c>
      <c r="K51" s="143">
        <f t="shared" si="9"/>
        <v>100.9</v>
      </c>
      <c r="L51" s="143">
        <f t="shared" si="20"/>
        <v>99.6</v>
      </c>
      <c r="M51" s="143">
        <f t="shared" si="20"/>
        <v>99.5</v>
      </c>
      <c r="N51" s="144">
        <f t="shared" si="10"/>
        <v>97.2</v>
      </c>
    </row>
    <row r="52" spans="1:14" ht="30" customHeight="1" hidden="1">
      <c r="A52" s="160" t="s">
        <v>43</v>
      </c>
      <c r="B52" s="165" t="s">
        <v>90</v>
      </c>
      <c r="C52" s="166">
        <v>74211820</v>
      </c>
      <c r="D52" s="167">
        <v>67713518</v>
      </c>
      <c r="E52" s="167">
        <v>349301433</v>
      </c>
      <c r="F52" s="167">
        <v>348491006</v>
      </c>
      <c r="G52" s="167">
        <v>97533176</v>
      </c>
      <c r="H52" s="167">
        <v>89403</v>
      </c>
      <c r="I52" s="167">
        <v>82504</v>
      </c>
      <c r="J52" s="167">
        <f t="shared" si="14"/>
        <v>4707</v>
      </c>
      <c r="K52" s="168">
        <f t="shared" si="9"/>
        <v>99.4</v>
      </c>
      <c r="L52" s="168">
        <f t="shared" si="20"/>
        <v>95.3</v>
      </c>
      <c r="M52" s="168">
        <f t="shared" si="20"/>
        <v>101.4</v>
      </c>
      <c r="N52" s="169">
        <f t="shared" si="10"/>
        <v>98.9</v>
      </c>
    </row>
    <row r="53" spans="1:14" ht="30" customHeight="1" hidden="1">
      <c r="A53" s="163"/>
      <c r="B53" s="165" t="s">
        <v>91</v>
      </c>
      <c r="C53" s="166">
        <f aca="true" t="shared" si="23" ref="C53:I53">SUM(C51:C52)</f>
        <v>123811464</v>
      </c>
      <c r="D53" s="167">
        <f t="shared" si="23"/>
        <v>117039435</v>
      </c>
      <c r="E53" s="167">
        <f t="shared" si="23"/>
        <v>2165644122</v>
      </c>
      <c r="F53" s="167">
        <f t="shared" si="23"/>
        <v>2161821268</v>
      </c>
      <c r="G53" s="167">
        <f t="shared" si="23"/>
        <v>789180846</v>
      </c>
      <c r="H53" s="167">
        <f t="shared" si="23"/>
        <v>394339</v>
      </c>
      <c r="I53" s="167">
        <f t="shared" si="23"/>
        <v>382025</v>
      </c>
      <c r="J53" s="167">
        <f t="shared" si="14"/>
        <v>17491</v>
      </c>
      <c r="K53" s="168">
        <f t="shared" si="9"/>
        <v>100</v>
      </c>
      <c r="L53" s="168">
        <f t="shared" si="20"/>
        <v>98.9</v>
      </c>
      <c r="M53" s="168">
        <f t="shared" si="20"/>
        <v>99.7</v>
      </c>
      <c r="N53" s="169">
        <f t="shared" si="10"/>
        <v>97.6</v>
      </c>
    </row>
    <row r="54" spans="1:14" ht="30" customHeight="1" hidden="1">
      <c r="A54" s="160"/>
      <c r="B54" s="140" t="s">
        <v>88</v>
      </c>
      <c r="C54" s="141">
        <v>50019907</v>
      </c>
      <c r="D54" s="142">
        <v>49724647</v>
      </c>
      <c r="E54" s="142">
        <v>1805415342</v>
      </c>
      <c r="F54" s="142">
        <v>1802197476</v>
      </c>
      <c r="G54" s="142">
        <v>685200476</v>
      </c>
      <c r="H54" s="142">
        <v>307523</v>
      </c>
      <c r="I54" s="142">
        <v>301842</v>
      </c>
      <c r="J54" s="142">
        <f t="shared" si="14"/>
        <v>36094</v>
      </c>
      <c r="K54" s="143">
        <f t="shared" si="9"/>
        <v>100.8</v>
      </c>
      <c r="L54" s="143">
        <f t="shared" si="20"/>
        <v>99.4</v>
      </c>
      <c r="M54" s="143">
        <f t="shared" si="20"/>
        <v>99.1</v>
      </c>
      <c r="N54" s="144">
        <f t="shared" si="10"/>
        <v>100.8</v>
      </c>
    </row>
    <row r="55" spans="1:14" ht="30" customHeight="1" hidden="1">
      <c r="A55" s="160" t="s">
        <v>20</v>
      </c>
      <c r="B55" s="165" t="s">
        <v>90</v>
      </c>
      <c r="C55" s="166">
        <v>73616278</v>
      </c>
      <c r="D55" s="167">
        <v>67176322</v>
      </c>
      <c r="E55" s="167">
        <v>328925621</v>
      </c>
      <c r="F55" s="167">
        <v>328216733</v>
      </c>
      <c r="G55" s="167">
        <v>97000707</v>
      </c>
      <c r="H55" s="167">
        <v>88493</v>
      </c>
      <c r="I55" s="167">
        <v>81631</v>
      </c>
      <c r="J55" s="167">
        <f t="shared" si="14"/>
        <v>4468</v>
      </c>
      <c r="K55" s="168">
        <f t="shared" si="9"/>
        <v>99.2</v>
      </c>
      <c r="L55" s="168">
        <f t="shared" si="20"/>
        <v>94.2</v>
      </c>
      <c r="M55" s="168">
        <f t="shared" si="20"/>
        <v>99.5</v>
      </c>
      <c r="N55" s="169">
        <f t="shared" si="10"/>
        <v>98.9</v>
      </c>
    </row>
    <row r="56" spans="1:14" ht="30" customHeight="1" hidden="1">
      <c r="A56" s="163"/>
      <c r="B56" s="165" t="s">
        <v>91</v>
      </c>
      <c r="C56" s="166">
        <f aca="true" t="shared" si="24" ref="C56:I56">SUM(C54:C55)</f>
        <v>123636185</v>
      </c>
      <c r="D56" s="167">
        <f t="shared" si="24"/>
        <v>116900969</v>
      </c>
      <c r="E56" s="167">
        <f t="shared" si="24"/>
        <v>2134340963</v>
      </c>
      <c r="F56" s="167">
        <f t="shared" si="24"/>
        <v>2130414209</v>
      </c>
      <c r="G56" s="167">
        <f t="shared" si="24"/>
        <v>782201183</v>
      </c>
      <c r="H56" s="167">
        <f t="shared" si="24"/>
        <v>396016</v>
      </c>
      <c r="I56" s="167">
        <f t="shared" si="24"/>
        <v>383473</v>
      </c>
      <c r="J56" s="167">
        <f t="shared" si="14"/>
        <v>17263</v>
      </c>
      <c r="K56" s="168">
        <f t="shared" si="9"/>
        <v>99.9</v>
      </c>
      <c r="L56" s="168">
        <f t="shared" si="20"/>
        <v>98.5</v>
      </c>
      <c r="M56" s="168">
        <f t="shared" si="20"/>
        <v>99.1</v>
      </c>
      <c r="N56" s="169">
        <f t="shared" si="10"/>
        <v>100.4</v>
      </c>
    </row>
    <row r="57" spans="1:14" ht="30" customHeight="1" hidden="1">
      <c r="A57" s="160"/>
      <c r="B57" s="140" t="s">
        <v>88</v>
      </c>
      <c r="C57" s="141">
        <v>50426778</v>
      </c>
      <c r="D57" s="142">
        <v>50121877</v>
      </c>
      <c r="E57" s="142">
        <v>1803787154</v>
      </c>
      <c r="F57" s="142">
        <v>1800498660</v>
      </c>
      <c r="G57" s="142">
        <v>684883961</v>
      </c>
      <c r="H57" s="142">
        <v>309730</v>
      </c>
      <c r="I57" s="142">
        <v>303933</v>
      </c>
      <c r="J57" s="142">
        <f t="shared" si="14"/>
        <v>35770</v>
      </c>
      <c r="K57" s="143">
        <f t="shared" si="9"/>
        <v>100.8</v>
      </c>
      <c r="L57" s="143">
        <f aca="true" t="shared" si="25" ref="L57:M72">ROUND((F57/F54)*100,1)</f>
        <v>99.9</v>
      </c>
      <c r="M57" s="143">
        <f t="shared" si="25"/>
        <v>100</v>
      </c>
      <c r="N57" s="144">
        <f t="shared" si="10"/>
        <v>100.7</v>
      </c>
    </row>
    <row r="58" spans="1:14" ht="30" customHeight="1" hidden="1">
      <c r="A58" s="160" t="s">
        <v>22</v>
      </c>
      <c r="B58" s="165" t="s">
        <v>90</v>
      </c>
      <c r="C58" s="166">
        <v>73072240</v>
      </c>
      <c r="D58" s="167">
        <v>66637751</v>
      </c>
      <c r="E58" s="167">
        <v>314770229</v>
      </c>
      <c r="F58" s="167">
        <v>314141639</v>
      </c>
      <c r="G58" s="167">
        <v>96401815</v>
      </c>
      <c r="H58" s="167">
        <v>87584</v>
      </c>
      <c r="I58" s="167">
        <v>80735</v>
      </c>
      <c r="J58" s="167">
        <f t="shared" si="14"/>
        <v>4308</v>
      </c>
      <c r="K58" s="168">
        <f t="shared" si="9"/>
        <v>99.2</v>
      </c>
      <c r="L58" s="168">
        <f t="shared" si="25"/>
        <v>95.7</v>
      </c>
      <c r="M58" s="168">
        <f t="shared" si="25"/>
        <v>99.4</v>
      </c>
      <c r="N58" s="169">
        <f t="shared" si="10"/>
        <v>98.9</v>
      </c>
    </row>
    <row r="59" spans="1:14" ht="30" customHeight="1" hidden="1">
      <c r="A59" s="163"/>
      <c r="B59" s="165" t="s">
        <v>91</v>
      </c>
      <c r="C59" s="166">
        <f aca="true" t="shared" si="26" ref="C59:I59">SUM(C57:C58)</f>
        <v>123499018</v>
      </c>
      <c r="D59" s="167">
        <f>SUM(D57:D58)</f>
        <v>116759628</v>
      </c>
      <c r="E59" s="167">
        <f t="shared" si="26"/>
        <v>2118557383</v>
      </c>
      <c r="F59" s="167">
        <f t="shared" si="26"/>
        <v>2114640299</v>
      </c>
      <c r="G59" s="167">
        <f t="shared" si="26"/>
        <v>781285776</v>
      </c>
      <c r="H59" s="167">
        <f t="shared" si="26"/>
        <v>397314</v>
      </c>
      <c r="I59" s="167">
        <f t="shared" si="26"/>
        <v>384668</v>
      </c>
      <c r="J59" s="167">
        <f t="shared" si="14"/>
        <v>17154</v>
      </c>
      <c r="K59" s="168">
        <f t="shared" si="9"/>
        <v>99.9</v>
      </c>
      <c r="L59" s="168">
        <f t="shared" si="25"/>
        <v>99.3</v>
      </c>
      <c r="M59" s="168">
        <f t="shared" si="25"/>
        <v>99.9</v>
      </c>
      <c r="N59" s="169">
        <f t="shared" si="10"/>
        <v>100.3</v>
      </c>
    </row>
    <row r="60" spans="1:14" ht="30" customHeight="1" hidden="1">
      <c r="A60" s="160"/>
      <c r="B60" s="140" t="s">
        <v>88</v>
      </c>
      <c r="C60" s="141">
        <v>50778134</v>
      </c>
      <c r="D60" s="142">
        <v>50465622</v>
      </c>
      <c r="E60" s="142">
        <v>1804598618</v>
      </c>
      <c r="F60" s="142">
        <v>1801270331</v>
      </c>
      <c r="G60" s="142">
        <v>684335073</v>
      </c>
      <c r="H60" s="142">
        <v>312083</v>
      </c>
      <c r="I60" s="142">
        <v>306220</v>
      </c>
      <c r="J60" s="142">
        <f t="shared" si="14"/>
        <v>35539</v>
      </c>
      <c r="K60" s="143">
        <f t="shared" si="9"/>
        <v>100.7</v>
      </c>
      <c r="L60" s="143">
        <f t="shared" si="25"/>
        <v>100</v>
      </c>
      <c r="M60" s="143">
        <f t="shared" si="25"/>
        <v>99.9</v>
      </c>
      <c r="N60" s="144">
        <f t="shared" si="10"/>
        <v>100.8</v>
      </c>
    </row>
    <row r="61" spans="1:14" ht="30" customHeight="1" hidden="1">
      <c r="A61" s="160" t="s">
        <v>44</v>
      </c>
      <c r="B61" s="165" t="s">
        <v>90</v>
      </c>
      <c r="C61" s="166">
        <v>72690581</v>
      </c>
      <c r="D61" s="167">
        <v>66324507</v>
      </c>
      <c r="E61" s="167">
        <v>301746820</v>
      </c>
      <c r="F61" s="167">
        <v>301177333</v>
      </c>
      <c r="G61" s="167">
        <v>95503673</v>
      </c>
      <c r="H61" s="167">
        <v>86750</v>
      </c>
      <c r="I61" s="167">
        <v>79998</v>
      </c>
      <c r="J61" s="167">
        <f t="shared" si="14"/>
        <v>4151</v>
      </c>
      <c r="K61" s="168">
        <f t="shared" si="9"/>
        <v>99.5</v>
      </c>
      <c r="L61" s="168">
        <f t="shared" si="25"/>
        <v>95.9</v>
      </c>
      <c r="M61" s="168">
        <f t="shared" si="25"/>
        <v>99.1</v>
      </c>
      <c r="N61" s="169">
        <f t="shared" si="10"/>
        <v>99.1</v>
      </c>
    </row>
    <row r="62" spans="1:14" ht="30" customHeight="1" hidden="1">
      <c r="A62" s="163"/>
      <c r="B62" s="165" t="s">
        <v>91</v>
      </c>
      <c r="C62" s="166">
        <f aca="true" t="shared" si="27" ref="C62:I62">SUM(C60:C61)</f>
        <v>123468715</v>
      </c>
      <c r="D62" s="167">
        <f t="shared" si="27"/>
        <v>116790129</v>
      </c>
      <c r="E62" s="167">
        <f t="shared" si="27"/>
        <v>2106345438</v>
      </c>
      <c r="F62" s="167">
        <f t="shared" si="27"/>
        <v>2102447664</v>
      </c>
      <c r="G62" s="167">
        <f t="shared" si="27"/>
        <v>779838746</v>
      </c>
      <c r="H62" s="167">
        <f t="shared" si="27"/>
        <v>398833</v>
      </c>
      <c r="I62" s="167">
        <f t="shared" si="27"/>
        <v>386218</v>
      </c>
      <c r="J62" s="167">
        <f t="shared" si="14"/>
        <v>17060</v>
      </c>
      <c r="K62" s="168">
        <f t="shared" si="9"/>
        <v>100</v>
      </c>
      <c r="L62" s="168">
        <f t="shared" si="25"/>
        <v>99.4</v>
      </c>
      <c r="M62" s="168">
        <f t="shared" si="25"/>
        <v>99.8</v>
      </c>
      <c r="N62" s="169">
        <f t="shared" si="10"/>
        <v>100.4</v>
      </c>
    </row>
    <row r="63" spans="1:14" ht="30" customHeight="1">
      <c r="A63" s="160"/>
      <c r="B63" s="140" t="s">
        <v>88</v>
      </c>
      <c r="C63" s="141">
        <v>51251873</v>
      </c>
      <c r="D63" s="142">
        <v>50886527</v>
      </c>
      <c r="E63" s="142">
        <v>1808280879</v>
      </c>
      <c r="F63" s="142">
        <v>1804546112</v>
      </c>
      <c r="G63" s="142">
        <v>683663477</v>
      </c>
      <c r="H63" s="142">
        <v>314557</v>
      </c>
      <c r="I63" s="142">
        <v>308205</v>
      </c>
      <c r="J63" s="142">
        <f t="shared" si="14"/>
        <v>35282</v>
      </c>
      <c r="K63" s="143">
        <f t="shared" si="9"/>
        <v>100.8</v>
      </c>
      <c r="L63" s="143">
        <f t="shared" si="25"/>
        <v>100.2</v>
      </c>
      <c r="M63" s="143">
        <f t="shared" si="25"/>
        <v>99.9</v>
      </c>
      <c r="N63" s="144">
        <f t="shared" si="10"/>
        <v>100.6</v>
      </c>
    </row>
    <row r="64" spans="1:14" ht="30" customHeight="1">
      <c r="A64" s="160" t="s">
        <v>45</v>
      </c>
      <c r="B64" s="165" t="s">
        <v>90</v>
      </c>
      <c r="C64" s="166">
        <v>72268654</v>
      </c>
      <c r="D64" s="167">
        <v>65956399</v>
      </c>
      <c r="E64" s="167">
        <v>284462158</v>
      </c>
      <c r="F64" s="167">
        <v>283945972</v>
      </c>
      <c r="G64" s="167">
        <v>92493692</v>
      </c>
      <c r="H64" s="167">
        <v>85820</v>
      </c>
      <c r="I64" s="167">
        <v>79080</v>
      </c>
      <c r="J64" s="167">
        <f t="shared" si="14"/>
        <v>3936</v>
      </c>
      <c r="K64" s="168">
        <f>ROUND((D64/D61)*100,1)</f>
        <v>99.4</v>
      </c>
      <c r="L64" s="168">
        <f t="shared" si="25"/>
        <v>94.3</v>
      </c>
      <c r="M64" s="168">
        <f t="shared" si="25"/>
        <v>96.8</v>
      </c>
      <c r="N64" s="169">
        <f t="shared" si="10"/>
        <v>98.9</v>
      </c>
    </row>
    <row r="65" spans="1:14" ht="30" customHeight="1">
      <c r="A65" s="163"/>
      <c r="B65" s="165" t="s">
        <v>91</v>
      </c>
      <c r="C65" s="166">
        <f aca="true" t="shared" si="28" ref="C65:I65">SUM(C63:C64)</f>
        <v>123520527</v>
      </c>
      <c r="D65" s="167">
        <f t="shared" si="28"/>
        <v>116842926</v>
      </c>
      <c r="E65" s="167">
        <f t="shared" si="28"/>
        <v>2092743037</v>
      </c>
      <c r="F65" s="167">
        <f t="shared" si="28"/>
        <v>2088492084</v>
      </c>
      <c r="G65" s="167">
        <f t="shared" si="28"/>
        <v>776157169</v>
      </c>
      <c r="H65" s="167">
        <f t="shared" si="28"/>
        <v>400377</v>
      </c>
      <c r="I65" s="167">
        <f t="shared" si="28"/>
        <v>387285</v>
      </c>
      <c r="J65" s="167">
        <f t="shared" si="14"/>
        <v>16942</v>
      </c>
      <c r="K65" s="168">
        <f t="shared" si="9"/>
        <v>100</v>
      </c>
      <c r="L65" s="168">
        <f>ROUND((F65/F62)*100,1)</f>
        <v>99.3</v>
      </c>
      <c r="M65" s="168">
        <f t="shared" si="25"/>
        <v>99.5</v>
      </c>
      <c r="N65" s="169">
        <f t="shared" si="10"/>
        <v>100.3</v>
      </c>
    </row>
    <row r="66" spans="1:14" ht="30" customHeight="1">
      <c r="A66" s="160"/>
      <c r="B66" s="140" t="s">
        <v>88</v>
      </c>
      <c r="C66" s="141">
        <v>51632514</v>
      </c>
      <c r="D66" s="142">
        <v>51250551</v>
      </c>
      <c r="E66" s="142">
        <v>1812200900</v>
      </c>
      <c r="F66" s="142">
        <v>1808348046</v>
      </c>
      <c r="G66" s="142">
        <v>684686319</v>
      </c>
      <c r="H66" s="142">
        <v>317060</v>
      </c>
      <c r="I66" s="142">
        <v>310548</v>
      </c>
      <c r="J66" s="142">
        <f t="shared" si="14"/>
        <v>35098</v>
      </c>
      <c r="K66" s="143">
        <f t="shared" si="9"/>
        <v>100.7</v>
      </c>
      <c r="L66" s="143">
        <f t="shared" si="25"/>
        <v>100.2</v>
      </c>
      <c r="M66" s="143">
        <f t="shared" si="25"/>
        <v>100.1</v>
      </c>
      <c r="N66" s="144">
        <f t="shared" si="10"/>
        <v>100.8</v>
      </c>
    </row>
    <row r="67" spans="1:14" ht="30" customHeight="1">
      <c r="A67" s="160" t="s">
        <v>28</v>
      </c>
      <c r="B67" s="165" t="s">
        <v>90</v>
      </c>
      <c r="C67" s="166">
        <v>71823289</v>
      </c>
      <c r="D67" s="167">
        <v>65547068</v>
      </c>
      <c r="E67" s="167">
        <v>272125428</v>
      </c>
      <c r="F67" s="167">
        <v>271644290</v>
      </c>
      <c r="G67" s="167">
        <v>90188582</v>
      </c>
      <c r="H67" s="167">
        <v>84925</v>
      </c>
      <c r="I67" s="167">
        <v>78222</v>
      </c>
      <c r="J67" s="167">
        <f t="shared" si="14"/>
        <v>3789</v>
      </c>
      <c r="K67" s="168">
        <f t="shared" si="9"/>
        <v>99.4</v>
      </c>
      <c r="L67" s="168">
        <f t="shared" si="25"/>
        <v>95.7</v>
      </c>
      <c r="M67" s="168">
        <f t="shared" si="25"/>
        <v>97.5</v>
      </c>
      <c r="N67" s="169">
        <f t="shared" si="10"/>
        <v>98.9</v>
      </c>
    </row>
    <row r="68" spans="1:14" ht="30" customHeight="1">
      <c r="A68" s="163"/>
      <c r="B68" s="165" t="s">
        <v>91</v>
      </c>
      <c r="C68" s="166">
        <f aca="true" t="shared" si="29" ref="C68:H68">SUM(C66:C67)</f>
        <v>123455803</v>
      </c>
      <c r="D68" s="167">
        <f t="shared" si="29"/>
        <v>116797619</v>
      </c>
      <c r="E68" s="167">
        <f t="shared" si="29"/>
        <v>2084326328</v>
      </c>
      <c r="F68" s="167">
        <f t="shared" si="29"/>
        <v>2079992336</v>
      </c>
      <c r="G68" s="167">
        <f t="shared" si="29"/>
        <v>774874901</v>
      </c>
      <c r="H68" s="167">
        <f t="shared" si="29"/>
        <v>401985</v>
      </c>
      <c r="I68" s="167">
        <f>SUM(I66:I67)</f>
        <v>388770</v>
      </c>
      <c r="J68" s="167">
        <f t="shared" si="14"/>
        <v>16883</v>
      </c>
      <c r="K68" s="168">
        <f t="shared" si="9"/>
        <v>100</v>
      </c>
      <c r="L68" s="168">
        <f t="shared" si="25"/>
        <v>99.6</v>
      </c>
      <c r="M68" s="168">
        <f t="shared" si="25"/>
        <v>99.8</v>
      </c>
      <c r="N68" s="169">
        <f t="shared" si="10"/>
        <v>100.4</v>
      </c>
    </row>
    <row r="69" spans="1:14" ht="30" customHeight="1">
      <c r="A69" s="160"/>
      <c r="B69" s="140" t="s">
        <v>88</v>
      </c>
      <c r="C69" s="141">
        <v>52022142</v>
      </c>
      <c r="D69" s="142">
        <v>51629367</v>
      </c>
      <c r="E69" s="142">
        <v>1817263636</v>
      </c>
      <c r="F69" s="142">
        <v>1813348738</v>
      </c>
      <c r="G69" s="142">
        <v>686673712</v>
      </c>
      <c r="H69" s="142">
        <v>318572</v>
      </c>
      <c r="I69" s="142">
        <v>311953</v>
      </c>
      <c r="J69" s="142">
        <f t="shared" si="14"/>
        <v>34933</v>
      </c>
      <c r="K69" s="143">
        <f t="shared" si="9"/>
        <v>100.7</v>
      </c>
      <c r="L69" s="143">
        <f t="shared" si="25"/>
        <v>100.3</v>
      </c>
      <c r="M69" s="143">
        <f t="shared" si="25"/>
        <v>100.3</v>
      </c>
      <c r="N69" s="144">
        <f t="shared" si="10"/>
        <v>100.5</v>
      </c>
    </row>
    <row r="70" spans="1:14" ht="30" customHeight="1">
      <c r="A70" s="160" t="s">
        <v>26</v>
      </c>
      <c r="B70" s="165" t="s">
        <v>90</v>
      </c>
      <c r="C70" s="166">
        <v>71440595</v>
      </c>
      <c r="D70" s="167">
        <v>65186600</v>
      </c>
      <c r="E70" s="167">
        <v>259754337</v>
      </c>
      <c r="F70" s="167">
        <v>259302244</v>
      </c>
      <c r="G70" s="167">
        <v>87507374</v>
      </c>
      <c r="H70" s="167">
        <v>83958</v>
      </c>
      <c r="I70" s="167">
        <v>77302</v>
      </c>
      <c r="J70" s="167">
        <f t="shared" si="14"/>
        <v>3636</v>
      </c>
      <c r="K70" s="168">
        <f t="shared" si="9"/>
        <v>99.5</v>
      </c>
      <c r="L70" s="168">
        <f t="shared" si="25"/>
        <v>95.5</v>
      </c>
      <c r="M70" s="168">
        <f t="shared" si="25"/>
        <v>97</v>
      </c>
      <c r="N70" s="169">
        <f t="shared" si="10"/>
        <v>98.8</v>
      </c>
    </row>
    <row r="71" spans="1:14" ht="30" customHeight="1">
      <c r="A71" s="163"/>
      <c r="B71" s="165" t="s">
        <v>91</v>
      </c>
      <c r="C71" s="166">
        <f aca="true" t="shared" si="30" ref="C71:H71">SUM(C69:C70)</f>
        <v>123462737</v>
      </c>
      <c r="D71" s="167">
        <f t="shared" si="30"/>
        <v>116815967</v>
      </c>
      <c r="E71" s="167">
        <f t="shared" si="30"/>
        <v>2077017973</v>
      </c>
      <c r="F71" s="167">
        <f t="shared" si="30"/>
        <v>2072650982</v>
      </c>
      <c r="G71" s="167">
        <f t="shared" si="30"/>
        <v>774181086</v>
      </c>
      <c r="H71" s="167">
        <f t="shared" si="30"/>
        <v>402530</v>
      </c>
      <c r="I71" s="167">
        <f>SUM(I69:I70)</f>
        <v>389255</v>
      </c>
      <c r="J71" s="167">
        <f t="shared" si="14"/>
        <v>16823</v>
      </c>
      <c r="K71" s="168">
        <f t="shared" si="9"/>
        <v>100</v>
      </c>
      <c r="L71" s="168">
        <f t="shared" si="25"/>
        <v>99.6</v>
      </c>
      <c r="M71" s="168">
        <f t="shared" si="25"/>
        <v>99.9</v>
      </c>
      <c r="N71" s="169">
        <f t="shared" si="10"/>
        <v>100.1</v>
      </c>
    </row>
    <row r="72" spans="1:14" ht="30" customHeight="1">
      <c r="A72" s="160"/>
      <c r="B72" s="140" t="s">
        <v>88</v>
      </c>
      <c r="C72" s="141">
        <v>52390488</v>
      </c>
      <c r="D72" s="142">
        <v>51977190</v>
      </c>
      <c r="E72" s="142">
        <v>1798235804</v>
      </c>
      <c r="F72" s="142">
        <v>1794158248</v>
      </c>
      <c r="G72" s="142">
        <v>677166332</v>
      </c>
      <c r="H72" s="142">
        <v>320769</v>
      </c>
      <c r="I72" s="142">
        <v>313921</v>
      </c>
      <c r="J72" s="142">
        <f>ROUND((E72*1000)/C72,0)</f>
        <v>34324</v>
      </c>
      <c r="K72" s="143">
        <f>ROUND((D72/D69)*100,1)</f>
        <v>100.7</v>
      </c>
      <c r="L72" s="143">
        <f t="shared" si="25"/>
        <v>98.9</v>
      </c>
      <c r="M72" s="143">
        <f t="shared" si="25"/>
        <v>98.6</v>
      </c>
      <c r="N72" s="144">
        <f>ROUND((I72/I69)*100,1)</f>
        <v>100.6</v>
      </c>
    </row>
    <row r="73" spans="1:14" ht="30" customHeight="1">
      <c r="A73" s="160" t="s">
        <v>31</v>
      </c>
      <c r="B73" s="165" t="s">
        <v>90</v>
      </c>
      <c r="C73" s="166">
        <v>71062958</v>
      </c>
      <c r="D73" s="167">
        <v>64823589</v>
      </c>
      <c r="E73" s="167">
        <v>237212642</v>
      </c>
      <c r="F73" s="167">
        <v>236771502</v>
      </c>
      <c r="G73" s="167">
        <v>81129123</v>
      </c>
      <c r="H73" s="167">
        <v>83118</v>
      </c>
      <c r="I73" s="167">
        <v>76485</v>
      </c>
      <c r="J73" s="167">
        <f>ROUND((E73*1000)/C73,0)</f>
        <v>3338</v>
      </c>
      <c r="K73" s="168">
        <f>ROUND((D73/D70)*100,1)</f>
        <v>99.4</v>
      </c>
      <c r="L73" s="168">
        <f>ROUND((F73/F70)*100,1)</f>
        <v>91.3</v>
      </c>
      <c r="M73" s="168">
        <f>ROUND((G73/G70)*100,1)</f>
        <v>92.7</v>
      </c>
      <c r="N73" s="169">
        <f>ROUND((I73/I70)*100,1)</f>
        <v>98.9</v>
      </c>
    </row>
    <row r="74" spans="1:14" ht="30" customHeight="1">
      <c r="A74" s="163"/>
      <c r="B74" s="165" t="s">
        <v>91</v>
      </c>
      <c r="C74" s="166">
        <f aca="true" t="shared" si="31" ref="C74:H74">SUM(C72:C73)</f>
        <v>123453446</v>
      </c>
      <c r="D74" s="167">
        <f t="shared" si="31"/>
        <v>116800779</v>
      </c>
      <c r="E74" s="167">
        <f t="shared" si="31"/>
        <v>2035448446</v>
      </c>
      <c r="F74" s="167">
        <f t="shared" si="31"/>
        <v>2030929750</v>
      </c>
      <c r="G74" s="167">
        <f t="shared" si="31"/>
        <v>758295455</v>
      </c>
      <c r="H74" s="167">
        <f t="shared" si="31"/>
        <v>403887</v>
      </c>
      <c r="I74" s="167">
        <f>SUM(I72:I73)</f>
        <v>390406</v>
      </c>
      <c r="J74" s="167">
        <f>ROUND((E74*1000)/C74,0)</f>
        <v>16488</v>
      </c>
      <c r="K74" s="168">
        <f>ROUND((D74/D71)*100,1)</f>
        <v>100</v>
      </c>
      <c r="L74" s="168">
        <f>ROUND((F74/F71)*100,1)</f>
        <v>98</v>
      </c>
      <c r="M74" s="168">
        <f>ROUND((G74/G71)*100,1)</f>
        <v>97.9</v>
      </c>
      <c r="N74" s="169">
        <f>ROUND((I74/I71)*100,1)</f>
        <v>100.3</v>
      </c>
    </row>
    <row r="75" spans="1:14" ht="30" customHeight="1">
      <c r="A75" s="160"/>
      <c r="B75" s="140" t="s">
        <v>92</v>
      </c>
      <c r="C75" s="141">
        <v>26305888</v>
      </c>
      <c r="D75" s="142">
        <v>24866886</v>
      </c>
      <c r="E75" s="142">
        <v>104072929</v>
      </c>
      <c r="F75" s="142">
        <v>103883060</v>
      </c>
      <c r="G75" s="142">
        <v>34735126</v>
      </c>
      <c r="H75" s="142">
        <v>34454</v>
      </c>
      <c r="I75" s="142">
        <v>32376</v>
      </c>
      <c r="J75" s="142">
        <f aca="true" t="shared" si="32" ref="J75:J81">ROUND((E75*1000)/C75,0)</f>
        <v>3956</v>
      </c>
      <c r="K75" s="150">
        <f>ROUND((D75/25181145)*100,1)</f>
        <v>98.8</v>
      </c>
      <c r="L75" s="150">
        <f>ROUND((F75/110772256)*100,1)</f>
        <v>93.8</v>
      </c>
      <c r="M75" s="150">
        <f>ROUND((G75/36393348)*100,1)</f>
        <v>95.4</v>
      </c>
      <c r="N75" s="162">
        <f>ROUND((I75/32807)*100,1)</f>
        <v>98.7</v>
      </c>
    </row>
    <row r="76" spans="1:14" ht="30" customHeight="1">
      <c r="A76" s="160"/>
      <c r="B76" s="140" t="s">
        <v>93</v>
      </c>
      <c r="C76" s="141">
        <v>9519854</v>
      </c>
      <c r="D76" s="142">
        <v>9006069</v>
      </c>
      <c r="E76" s="142">
        <v>109478510</v>
      </c>
      <c r="F76" s="142">
        <v>109364611</v>
      </c>
      <c r="G76" s="142">
        <v>35586322</v>
      </c>
      <c r="H76" s="142">
        <v>29746</v>
      </c>
      <c r="I76" s="142">
        <v>28105</v>
      </c>
      <c r="J76" s="142">
        <f t="shared" si="32"/>
        <v>11500</v>
      </c>
      <c r="K76" s="161">
        <f>ROUND((D76/9132917)*100,1)</f>
        <v>98.6</v>
      </c>
      <c r="L76" s="161">
        <f>ROUND((F76/114665687)*100,1)</f>
        <v>95.4</v>
      </c>
      <c r="M76" s="150">
        <f>ROUND((G76/36965282)*100,1)</f>
        <v>96.3</v>
      </c>
      <c r="N76" s="162">
        <f>ROUND((I76/28500)*100,1)</f>
        <v>98.6</v>
      </c>
    </row>
    <row r="77" spans="1:14" ht="30" customHeight="1">
      <c r="A77" s="160"/>
      <c r="B77" s="140" t="s">
        <v>80</v>
      </c>
      <c r="C77" s="141">
        <v>52784246</v>
      </c>
      <c r="D77" s="142">
        <v>52360325</v>
      </c>
      <c r="E77" s="142">
        <v>1795034611</v>
      </c>
      <c r="F77" s="142">
        <v>1790888257</v>
      </c>
      <c r="G77" s="142">
        <v>675727060</v>
      </c>
      <c r="H77" s="142">
        <v>323076</v>
      </c>
      <c r="I77" s="142">
        <v>316112</v>
      </c>
      <c r="J77" s="142">
        <f t="shared" si="32"/>
        <v>34007</v>
      </c>
      <c r="K77" s="161">
        <f>ROUND((D77/51977190)*100,1)</f>
        <v>100.7</v>
      </c>
      <c r="L77" s="161">
        <f>ROUND((F77/1794158248)*100,1)</f>
        <v>99.8</v>
      </c>
      <c r="M77" s="150">
        <f>ROUND((G77/677166332)*100,1)</f>
        <v>99.8</v>
      </c>
      <c r="N77" s="162">
        <f>ROUND((I77/313921)*100,1)</f>
        <v>100.7</v>
      </c>
    </row>
    <row r="78" spans="1:14" ht="30" customHeight="1">
      <c r="A78" s="164" t="s">
        <v>34</v>
      </c>
      <c r="B78" s="140" t="s">
        <v>94</v>
      </c>
      <c r="C78" s="141">
        <v>22518</v>
      </c>
      <c r="D78" s="142">
        <v>19852</v>
      </c>
      <c r="E78" s="142">
        <v>1111</v>
      </c>
      <c r="F78" s="142">
        <v>952</v>
      </c>
      <c r="G78" s="142">
        <v>816</v>
      </c>
      <c r="H78" s="142">
        <v>65</v>
      </c>
      <c r="I78" s="142">
        <v>47</v>
      </c>
      <c r="J78" s="142">
        <f t="shared" si="32"/>
        <v>49</v>
      </c>
      <c r="K78" s="161">
        <f>ROUND((D78/19852)*100,1)</f>
        <v>100</v>
      </c>
      <c r="L78" s="161">
        <f>ROUND((F78/973)*100,1)</f>
        <v>97.8</v>
      </c>
      <c r="M78" s="150">
        <f>ROUND((G78/818)*100,1)</f>
        <v>99.8</v>
      </c>
      <c r="N78" s="162">
        <f>ROUND((I78/47)*100,1)</f>
        <v>100</v>
      </c>
    </row>
    <row r="79" spans="1:14" ht="30" customHeight="1">
      <c r="A79" s="164"/>
      <c r="B79" s="140" t="s">
        <v>95</v>
      </c>
      <c r="C79" s="141">
        <v>32628730</v>
      </c>
      <c r="D79" s="142">
        <v>28420328</v>
      </c>
      <c r="E79" s="142">
        <v>1373700</v>
      </c>
      <c r="F79" s="142">
        <v>1287726</v>
      </c>
      <c r="G79" s="142">
        <v>1151688</v>
      </c>
      <c r="H79" s="142">
        <v>13536</v>
      </c>
      <c r="I79" s="142">
        <v>11092</v>
      </c>
      <c r="J79" s="142">
        <f t="shared" si="32"/>
        <v>42</v>
      </c>
      <c r="K79" s="161">
        <f>ROUND((D79/28498493)*100,1)</f>
        <v>99.7</v>
      </c>
      <c r="L79" s="161">
        <f>ROUND((F79/1312342)*100,1)</f>
        <v>98.1</v>
      </c>
      <c r="M79" s="150">
        <f>ROUND((G79/1167937)*100,1)</f>
        <v>98.6</v>
      </c>
      <c r="N79" s="162">
        <f>ROUND((I79/11093)*100,1)</f>
        <v>100</v>
      </c>
    </row>
    <row r="80" spans="1:14" ht="30" customHeight="1">
      <c r="A80" s="170"/>
      <c r="B80" s="140" t="s">
        <v>96</v>
      </c>
      <c r="C80" s="141">
        <v>224275</v>
      </c>
      <c r="D80" s="142">
        <v>183608</v>
      </c>
      <c r="E80" s="142">
        <v>51715</v>
      </c>
      <c r="F80" s="142">
        <v>49550</v>
      </c>
      <c r="G80" s="142">
        <v>38766</v>
      </c>
      <c r="H80" s="142">
        <v>583</v>
      </c>
      <c r="I80" s="142">
        <v>443</v>
      </c>
      <c r="J80" s="142">
        <f t="shared" si="32"/>
        <v>231</v>
      </c>
      <c r="K80" s="161">
        <f>ROUND((D80/183133)*100,1)</f>
        <v>100.3</v>
      </c>
      <c r="L80" s="161">
        <f>ROUND((F80/50870)*100,1)</f>
        <v>97.4</v>
      </c>
      <c r="M80" s="150">
        <f>ROUND((G80/39483)*100,1)</f>
        <v>98.2</v>
      </c>
      <c r="N80" s="162">
        <f>ROUND((I80/442)*100,1)</f>
        <v>100.2</v>
      </c>
    </row>
    <row r="81" spans="1:14" ht="30" customHeight="1">
      <c r="A81" s="164"/>
      <c r="B81" s="140" t="s">
        <v>97</v>
      </c>
      <c r="C81" s="141">
        <v>1852843</v>
      </c>
      <c r="D81" s="142">
        <v>1807469</v>
      </c>
      <c r="E81" s="142">
        <v>9983331</v>
      </c>
      <c r="F81" s="142">
        <v>9972976</v>
      </c>
      <c r="G81" s="142">
        <v>6598482</v>
      </c>
      <c r="H81" s="142">
        <v>3855</v>
      </c>
      <c r="I81" s="142">
        <v>3576</v>
      </c>
      <c r="J81" s="142">
        <f t="shared" si="32"/>
        <v>5388</v>
      </c>
      <c r="K81" s="161">
        <f>ROUND((D81/1808049)*100,1)</f>
        <v>100</v>
      </c>
      <c r="L81" s="161">
        <f>ROUND((F81/9969374)*100,1)</f>
        <v>100</v>
      </c>
      <c r="M81" s="150">
        <f>ROUND((G81/6562255)*100,1)</f>
        <v>100.6</v>
      </c>
      <c r="N81" s="162">
        <f>ROUND((I81/3596)*100,1)</f>
        <v>99.4</v>
      </c>
    </row>
    <row r="82" spans="1:14" ht="30" customHeight="1" thickBot="1">
      <c r="A82" s="171"/>
      <c r="B82" s="172" t="s">
        <v>3</v>
      </c>
      <c r="C82" s="173">
        <f>SUM(C75:C81)</f>
        <v>123338354</v>
      </c>
      <c r="D82" s="174">
        <f aca="true" t="shared" si="33" ref="D82:I82">SUM(D75:D81)</f>
        <v>116664537</v>
      </c>
      <c r="E82" s="174">
        <f t="shared" si="33"/>
        <v>2019995907</v>
      </c>
      <c r="F82" s="174">
        <f t="shared" si="33"/>
        <v>2015447132</v>
      </c>
      <c r="G82" s="174">
        <f t="shared" si="33"/>
        <v>753838260</v>
      </c>
      <c r="H82" s="174">
        <f t="shared" si="33"/>
        <v>405315</v>
      </c>
      <c r="I82" s="174">
        <f t="shared" si="33"/>
        <v>391751</v>
      </c>
      <c r="J82" s="174">
        <f>ROUND((E82*1000)/C82,0)</f>
        <v>16378</v>
      </c>
      <c r="K82" s="175">
        <f>ROUND((D82/D74)*100,1)</f>
        <v>99.9</v>
      </c>
      <c r="L82" s="175">
        <f>ROUND((F82/F74)*100,1)</f>
        <v>99.2</v>
      </c>
      <c r="M82" s="175">
        <f>ROUND((G82/G74)*100,1)</f>
        <v>99.4</v>
      </c>
      <c r="N82" s="176">
        <f>ROUND((I82/I74)*100,1)</f>
        <v>100.3</v>
      </c>
    </row>
    <row r="83" spans="1:14" ht="30" customHeight="1">
      <c r="A83" s="128" t="s">
        <v>98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0" ht="30" customHeight="1" hidden="1">
      <c r="A84" s="129" t="s">
        <v>99</v>
      </c>
      <c r="J84" s="129" t="s">
        <v>100</v>
      </c>
    </row>
    <row r="85" ht="30" customHeight="1" hidden="1">
      <c r="A85" s="129" t="s">
        <v>101</v>
      </c>
    </row>
    <row r="86" ht="30" customHeight="1" hidden="1"/>
  </sheetData>
  <sheetProtection/>
  <mergeCells count="24">
    <mergeCell ref="A3:A5"/>
    <mergeCell ref="B3:B5"/>
    <mergeCell ref="C3:D3"/>
    <mergeCell ref="E3:F3"/>
    <mergeCell ref="G3:G4"/>
    <mergeCell ref="H3:I3"/>
    <mergeCell ref="K3:N3"/>
    <mergeCell ref="C4:C5"/>
    <mergeCell ref="D4:D5"/>
    <mergeCell ref="E4:E5"/>
    <mergeCell ref="F4:F5"/>
    <mergeCell ref="H4:H5"/>
    <mergeCell ref="I4:I5"/>
    <mergeCell ref="J4:J5"/>
    <mergeCell ref="M4:M5"/>
    <mergeCell ref="A24:A26"/>
    <mergeCell ref="A27:A29"/>
    <mergeCell ref="A30:A32"/>
    <mergeCell ref="A6:A8"/>
    <mergeCell ref="A9:A11"/>
    <mergeCell ref="A12:A14"/>
    <mergeCell ref="A15:A17"/>
    <mergeCell ref="A18:A20"/>
    <mergeCell ref="A21:A23"/>
  </mergeCells>
  <printOptions horizontalCentered="1"/>
  <pageMargins left="0.5905511811023623" right="0.5905511811023623" top="0.3937007874015748" bottom="0.1968503937007874" header="0.5905511811023623" footer="0.1968503937007874"/>
  <pageSetup fitToHeight="0" horizontalDpi="300" verticalDpi="300" orientation="portrait" paperSize="9" scale="99" r:id="rId1"/>
  <colBreaks count="1" manualBreakCount="1">
    <brk id="7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7.25" customHeight="1"/>
  <cols>
    <col min="1" max="1" width="11.125" style="83" bestFit="1" customWidth="1"/>
    <col min="2" max="2" width="3.375" style="83" bestFit="1" customWidth="1"/>
    <col min="3" max="3" width="18.75390625" style="83" customWidth="1"/>
    <col min="4" max="5" width="12.375" style="83" bestFit="1" customWidth="1"/>
    <col min="6" max="8" width="13.625" style="83" bestFit="1" customWidth="1"/>
    <col min="9" max="10" width="11.25390625" style="83" bestFit="1" customWidth="1"/>
    <col min="11" max="11" width="14.875" style="83" customWidth="1"/>
    <col min="12" max="15" width="10.625" style="83" customWidth="1"/>
    <col min="16" max="16384" width="9.00390625" style="83" customWidth="1"/>
  </cols>
  <sheetData>
    <row r="1" spans="1:15" ht="27" customHeight="1">
      <c r="A1" s="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7" customHeight="1">
      <c r="A2" s="84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7" customHeight="1" thickBot="1">
      <c r="A3" s="8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77"/>
      <c r="O3" s="86" t="s">
        <v>103</v>
      </c>
    </row>
    <row r="4" spans="1:15" ht="19.5" customHeight="1">
      <c r="A4" s="667" t="s">
        <v>60</v>
      </c>
      <c r="B4" s="668" t="s">
        <v>13</v>
      </c>
      <c r="C4" s="668"/>
      <c r="D4" s="668" t="s">
        <v>104</v>
      </c>
      <c r="E4" s="668"/>
      <c r="F4" s="668" t="s">
        <v>105</v>
      </c>
      <c r="G4" s="668"/>
      <c r="H4" s="178" t="s">
        <v>75</v>
      </c>
      <c r="I4" s="668" t="s">
        <v>106</v>
      </c>
      <c r="J4" s="668"/>
      <c r="K4" s="179" t="s">
        <v>107</v>
      </c>
      <c r="L4" s="668" t="s">
        <v>67</v>
      </c>
      <c r="M4" s="668"/>
      <c r="N4" s="668"/>
      <c r="O4" s="669"/>
    </row>
    <row r="5" spans="1:15" ht="15.75" customHeight="1">
      <c r="A5" s="664"/>
      <c r="B5" s="663"/>
      <c r="C5" s="663"/>
      <c r="D5" s="663" t="s">
        <v>108</v>
      </c>
      <c r="E5" s="663" t="s">
        <v>78</v>
      </c>
      <c r="F5" s="663" t="s">
        <v>70</v>
      </c>
      <c r="G5" s="663" t="s">
        <v>78</v>
      </c>
      <c r="H5" s="180"/>
      <c r="I5" s="663" t="s">
        <v>109</v>
      </c>
      <c r="J5" s="663" t="s">
        <v>78</v>
      </c>
      <c r="K5" s="663" t="s">
        <v>72</v>
      </c>
      <c r="L5" s="181" t="s">
        <v>110</v>
      </c>
      <c r="M5" s="181" t="s">
        <v>74</v>
      </c>
      <c r="N5" s="665" t="s">
        <v>75</v>
      </c>
      <c r="O5" s="182" t="s">
        <v>111</v>
      </c>
    </row>
    <row r="6" spans="1:15" ht="15.75" customHeight="1">
      <c r="A6" s="664"/>
      <c r="B6" s="663"/>
      <c r="C6" s="663"/>
      <c r="D6" s="663"/>
      <c r="E6" s="663"/>
      <c r="F6" s="663"/>
      <c r="G6" s="663"/>
      <c r="H6" s="183" t="s">
        <v>77</v>
      </c>
      <c r="I6" s="663"/>
      <c r="J6" s="663"/>
      <c r="K6" s="663"/>
      <c r="L6" s="184" t="s">
        <v>78</v>
      </c>
      <c r="M6" s="184" t="s">
        <v>78</v>
      </c>
      <c r="N6" s="665"/>
      <c r="O6" s="185" t="s">
        <v>78</v>
      </c>
    </row>
    <row r="7" spans="1:15" ht="19.5" customHeight="1" hidden="1">
      <c r="A7" s="664" t="s">
        <v>112</v>
      </c>
      <c r="B7" s="666" t="s">
        <v>113</v>
      </c>
      <c r="C7" s="666"/>
      <c r="D7" s="186">
        <v>10737854</v>
      </c>
      <c r="E7" s="186">
        <v>10192464</v>
      </c>
      <c r="F7" s="186">
        <v>247661338</v>
      </c>
      <c r="G7" s="186">
        <v>246771008</v>
      </c>
      <c r="H7" s="186">
        <v>246771008</v>
      </c>
      <c r="I7" s="186">
        <v>113128</v>
      </c>
      <c r="J7" s="186">
        <v>102205</v>
      </c>
      <c r="K7" s="186">
        <f aca="true" t="shared" si="0" ref="K7:K18">ROUND((F7*1000)/D7,0)</f>
        <v>23064</v>
      </c>
      <c r="L7" s="187">
        <v>100.1</v>
      </c>
      <c r="M7" s="187">
        <v>104.5</v>
      </c>
      <c r="N7" s="187">
        <v>104.5</v>
      </c>
      <c r="O7" s="188">
        <v>99.3</v>
      </c>
    </row>
    <row r="8" spans="1:15" ht="19.5" customHeight="1" hidden="1">
      <c r="A8" s="664"/>
      <c r="B8" s="662" t="s">
        <v>114</v>
      </c>
      <c r="C8" s="662"/>
      <c r="D8" s="189">
        <v>13112272</v>
      </c>
      <c r="E8" s="189">
        <v>13084798</v>
      </c>
      <c r="F8" s="189">
        <v>672283944</v>
      </c>
      <c r="G8" s="189">
        <v>672191316</v>
      </c>
      <c r="H8" s="189">
        <v>669122258</v>
      </c>
      <c r="I8" s="189">
        <v>51915</v>
      </c>
      <c r="J8" s="189">
        <v>51023</v>
      </c>
      <c r="K8" s="189">
        <f t="shared" si="0"/>
        <v>51271</v>
      </c>
      <c r="L8" s="190">
        <v>102.3</v>
      </c>
      <c r="M8" s="190">
        <v>104.8</v>
      </c>
      <c r="N8" s="190">
        <v>104.8</v>
      </c>
      <c r="O8" s="191">
        <v>101.5</v>
      </c>
    </row>
    <row r="9" spans="1:15" ht="19.5" customHeight="1" hidden="1">
      <c r="A9" s="664"/>
      <c r="B9" s="660" t="s">
        <v>3</v>
      </c>
      <c r="C9" s="626"/>
      <c r="D9" s="107">
        <f>D7+D8</f>
        <v>23850126</v>
      </c>
      <c r="E9" s="107">
        <f aca="true" t="shared" si="1" ref="E9:J9">E7+E8</f>
        <v>23277262</v>
      </c>
      <c r="F9" s="107">
        <f t="shared" si="1"/>
        <v>919945282</v>
      </c>
      <c r="G9" s="107">
        <f t="shared" si="1"/>
        <v>918962324</v>
      </c>
      <c r="H9" s="107">
        <f t="shared" si="1"/>
        <v>915893266</v>
      </c>
      <c r="I9" s="107">
        <f t="shared" si="1"/>
        <v>165043</v>
      </c>
      <c r="J9" s="107">
        <f t="shared" si="1"/>
        <v>153228</v>
      </c>
      <c r="K9" s="107">
        <f t="shared" si="0"/>
        <v>38572</v>
      </c>
      <c r="L9" s="192">
        <v>101.4</v>
      </c>
      <c r="M9" s="192">
        <v>104.7</v>
      </c>
      <c r="N9" s="192">
        <v>104.7</v>
      </c>
      <c r="O9" s="193">
        <v>100</v>
      </c>
    </row>
    <row r="10" spans="1:15" ht="19.5" customHeight="1" hidden="1">
      <c r="A10" s="664" t="s">
        <v>115</v>
      </c>
      <c r="B10" s="658" t="s">
        <v>116</v>
      </c>
      <c r="C10" s="661"/>
      <c r="D10" s="186">
        <v>10724870</v>
      </c>
      <c r="E10" s="186">
        <v>10198500</v>
      </c>
      <c r="F10" s="186">
        <v>223394868</v>
      </c>
      <c r="G10" s="186">
        <v>222528278</v>
      </c>
      <c r="H10" s="186">
        <v>222528278</v>
      </c>
      <c r="I10" s="186">
        <v>111994</v>
      </c>
      <c r="J10" s="186">
        <v>101350</v>
      </c>
      <c r="K10" s="186">
        <f t="shared" si="0"/>
        <v>20830</v>
      </c>
      <c r="L10" s="187">
        <f aca="true" t="shared" si="2" ref="L10:L72">ROUND((E10/E7)*100,1)</f>
        <v>100.1</v>
      </c>
      <c r="M10" s="187">
        <f aca="true" t="shared" si="3" ref="M10:N25">ROUND((G10/G7)*100,1)</f>
        <v>90.2</v>
      </c>
      <c r="N10" s="187">
        <f t="shared" si="3"/>
        <v>90.2</v>
      </c>
      <c r="O10" s="188">
        <f aca="true" t="shared" si="4" ref="O10:O18">ROUND((J10/J7)*100,1)</f>
        <v>99.2</v>
      </c>
    </row>
    <row r="11" spans="1:15" ht="19.5" customHeight="1" hidden="1">
      <c r="A11" s="664"/>
      <c r="B11" s="662" t="s">
        <v>117</v>
      </c>
      <c r="C11" s="662"/>
      <c r="D11" s="189">
        <v>13335567</v>
      </c>
      <c r="E11" s="189">
        <v>13306686</v>
      </c>
      <c r="F11" s="189">
        <v>643016354</v>
      </c>
      <c r="G11" s="189">
        <v>642920644</v>
      </c>
      <c r="H11" s="189">
        <v>640039977</v>
      </c>
      <c r="I11" s="189">
        <v>52584</v>
      </c>
      <c r="J11" s="189">
        <v>51628</v>
      </c>
      <c r="K11" s="189">
        <f t="shared" si="0"/>
        <v>48218</v>
      </c>
      <c r="L11" s="190">
        <f t="shared" si="2"/>
        <v>101.7</v>
      </c>
      <c r="M11" s="190">
        <f t="shared" si="3"/>
        <v>95.6</v>
      </c>
      <c r="N11" s="190">
        <f t="shared" si="3"/>
        <v>95.7</v>
      </c>
      <c r="O11" s="191">
        <f t="shared" si="4"/>
        <v>101.2</v>
      </c>
    </row>
    <row r="12" spans="1:15" ht="19.5" customHeight="1" hidden="1">
      <c r="A12" s="664"/>
      <c r="B12" s="660" t="s">
        <v>3</v>
      </c>
      <c r="C12" s="626"/>
      <c r="D12" s="107">
        <f>D10+D11</f>
        <v>24060437</v>
      </c>
      <c r="E12" s="107">
        <f aca="true" t="shared" si="5" ref="E12:J12">E10+E11</f>
        <v>23505186</v>
      </c>
      <c r="F12" s="107">
        <f t="shared" si="5"/>
        <v>866411222</v>
      </c>
      <c r="G12" s="107">
        <f t="shared" si="5"/>
        <v>865448922</v>
      </c>
      <c r="H12" s="107">
        <f t="shared" si="5"/>
        <v>862568255</v>
      </c>
      <c r="I12" s="107">
        <f t="shared" si="5"/>
        <v>164578</v>
      </c>
      <c r="J12" s="107">
        <f t="shared" si="5"/>
        <v>152978</v>
      </c>
      <c r="K12" s="107">
        <f t="shared" si="0"/>
        <v>36010</v>
      </c>
      <c r="L12" s="192">
        <f t="shared" si="2"/>
        <v>101</v>
      </c>
      <c r="M12" s="192">
        <f t="shared" si="3"/>
        <v>94.2</v>
      </c>
      <c r="N12" s="192">
        <f t="shared" si="3"/>
        <v>94.2</v>
      </c>
      <c r="O12" s="193">
        <f t="shared" si="4"/>
        <v>99.8</v>
      </c>
    </row>
    <row r="13" spans="1:15" ht="19.5" customHeight="1" hidden="1">
      <c r="A13" s="664" t="s">
        <v>118</v>
      </c>
      <c r="B13" s="658" t="s">
        <v>116</v>
      </c>
      <c r="C13" s="661"/>
      <c r="D13" s="186">
        <v>10765067</v>
      </c>
      <c r="E13" s="186">
        <v>10255302</v>
      </c>
      <c r="F13" s="186">
        <v>234949483</v>
      </c>
      <c r="G13" s="186">
        <v>234107163</v>
      </c>
      <c r="H13" s="186">
        <v>234107163</v>
      </c>
      <c r="I13" s="186">
        <v>111177</v>
      </c>
      <c r="J13" s="186">
        <v>100844</v>
      </c>
      <c r="K13" s="186">
        <f t="shared" si="0"/>
        <v>21825</v>
      </c>
      <c r="L13" s="187">
        <f t="shared" si="2"/>
        <v>100.6</v>
      </c>
      <c r="M13" s="187">
        <f t="shared" si="3"/>
        <v>105.2</v>
      </c>
      <c r="N13" s="187">
        <f t="shared" si="3"/>
        <v>105.2</v>
      </c>
      <c r="O13" s="188">
        <f t="shared" si="4"/>
        <v>99.5</v>
      </c>
    </row>
    <row r="14" spans="1:15" ht="19.5" customHeight="1" hidden="1">
      <c r="A14" s="664"/>
      <c r="B14" s="662" t="s">
        <v>117</v>
      </c>
      <c r="C14" s="662"/>
      <c r="D14" s="189">
        <v>13537320</v>
      </c>
      <c r="E14" s="189">
        <v>13507777</v>
      </c>
      <c r="F14" s="189">
        <v>667797647</v>
      </c>
      <c r="G14" s="189">
        <v>667699275</v>
      </c>
      <c r="H14" s="189">
        <v>664591809</v>
      </c>
      <c r="I14" s="189">
        <v>53044</v>
      </c>
      <c r="J14" s="189">
        <v>52066</v>
      </c>
      <c r="K14" s="189">
        <f t="shared" si="0"/>
        <v>49330</v>
      </c>
      <c r="L14" s="190">
        <f t="shared" si="2"/>
        <v>101.5</v>
      </c>
      <c r="M14" s="190">
        <f t="shared" si="3"/>
        <v>103.9</v>
      </c>
      <c r="N14" s="190">
        <f t="shared" si="3"/>
        <v>103.8</v>
      </c>
      <c r="O14" s="191">
        <f t="shared" si="4"/>
        <v>100.8</v>
      </c>
    </row>
    <row r="15" spans="1:15" ht="19.5" customHeight="1" hidden="1">
      <c r="A15" s="664"/>
      <c r="B15" s="663" t="s">
        <v>3</v>
      </c>
      <c r="C15" s="663"/>
      <c r="D15" s="107">
        <f>D13+D14</f>
        <v>24302387</v>
      </c>
      <c r="E15" s="107">
        <f aca="true" t="shared" si="6" ref="E15:J15">E13+E14</f>
        <v>23763079</v>
      </c>
      <c r="F15" s="107">
        <f t="shared" si="6"/>
        <v>902747130</v>
      </c>
      <c r="G15" s="107">
        <f t="shared" si="6"/>
        <v>901806438</v>
      </c>
      <c r="H15" s="107">
        <f t="shared" si="6"/>
        <v>898698972</v>
      </c>
      <c r="I15" s="107">
        <f t="shared" si="6"/>
        <v>164221</v>
      </c>
      <c r="J15" s="107">
        <f t="shared" si="6"/>
        <v>152910</v>
      </c>
      <c r="K15" s="107">
        <f t="shared" si="0"/>
        <v>37146</v>
      </c>
      <c r="L15" s="192">
        <f t="shared" si="2"/>
        <v>101.1</v>
      </c>
      <c r="M15" s="192">
        <f t="shared" si="3"/>
        <v>104.2</v>
      </c>
      <c r="N15" s="192">
        <f t="shared" si="3"/>
        <v>104.2</v>
      </c>
      <c r="O15" s="193">
        <f t="shared" si="4"/>
        <v>100</v>
      </c>
    </row>
    <row r="16" spans="1:15" ht="24.75" customHeight="1" hidden="1">
      <c r="A16" s="653" t="s">
        <v>119</v>
      </c>
      <c r="B16" s="658" t="s">
        <v>116</v>
      </c>
      <c r="C16" s="661"/>
      <c r="D16" s="186">
        <v>10826553</v>
      </c>
      <c r="E16" s="186">
        <v>10329510</v>
      </c>
      <c r="F16" s="186">
        <v>246199239</v>
      </c>
      <c r="G16" s="186">
        <v>245375519</v>
      </c>
      <c r="H16" s="186">
        <v>245375519</v>
      </c>
      <c r="I16" s="186">
        <v>110812</v>
      </c>
      <c r="J16" s="186">
        <v>100721</v>
      </c>
      <c r="K16" s="186">
        <f t="shared" si="0"/>
        <v>22740</v>
      </c>
      <c r="L16" s="187">
        <f t="shared" si="2"/>
        <v>100.7</v>
      </c>
      <c r="M16" s="187">
        <f t="shared" si="3"/>
        <v>104.8</v>
      </c>
      <c r="N16" s="187">
        <f t="shared" si="3"/>
        <v>104.8</v>
      </c>
      <c r="O16" s="188">
        <f t="shared" si="4"/>
        <v>99.9</v>
      </c>
    </row>
    <row r="17" spans="1:15" ht="24.75" customHeight="1" hidden="1">
      <c r="A17" s="654"/>
      <c r="B17" s="662" t="s">
        <v>117</v>
      </c>
      <c r="C17" s="662"/>
      <c r="D17" s="189">
        <v>13728032</v>
      </c>
      <c r="E17" s="189">
        <v>13698491</v>
      </c>
      <c r="F17" s="189">
        <v>691857232</v>
      </c>
      <c r="G17" s="189">
        <v>691758778</v>
      </c>
      <c r="H17" s="189">
        <v>688723931</v>
      </c>
      <c r="I17" s="189">
        <v>53417</v>
      </c>
      <c r="J17" s="189">
        <v>52439</v>
      </c>
      <c r="K17" s="189">
        <f t="shared" si="0"/>
        <v>50397</v>
      </c>
      <c r="L17" s="190">
        <f t="shared" si="2"/>
        <v>101.4</v>
      </c>
      <c r="M17" s="190">
        <f t="shared" si="3"/>
        <v>103.6</v>
      </c>
      <c r="N17" s="190">
        <f t="shared" si="3"/>
        <v>103.6</v>
      </c>
      <c r="O17" s="191">
        <f t="shared" si="4"/>
        <v>100.7</v>
      </c>
    </row>
    <row r="18" spans="1:15" ht="24.75" customHeight="1" hidden="1">
      <c r="A18" s="657"/>
      <c r="B18" s="663" t="s">
        <v>3</v>
      </c>
      <c r="C18" s="663"/>
      <c r="D18" s="107">
        <f>D16+D17</f>
        <v>24554585</v>
      </c>
      <c r="E18" s="107">
        <f aca="true" t="shared" si="7" ref="E18:J18">E16+E17</f>
        <v>24028001</v>
      </c>
      <c r="F18" s="107">
        <f t="shared" si="7"/>
        <v>938056471</v>
      </c>
      <c r="G18" s="107">
        <f t="shared" si="7"/>
        <v>937134297</v>
      </c>
      <c r="H18" s="107">
        <f t="shared" si="7"/>
        <v>934099450</v>
      </c>
      <c r="I18" s="107">
        <f t="shared" si="7"/>
        <v>164229</v>
      </c>
      <c r="J18" s="107">
        <f t="shared" si="7"/>
        <v>153160</v>
      </c>
      <c r="K18" s="107">
        <f t="shared" si="0"/>
        <v>38203</v>
      </c>
      <c r="L18" s="192">
        <f t="shared" si="2"/>
        <v>101.1</v>
      </c>
      <c r="M18" s="192">
        <f t="shared" si="3"/>
        <v>103.9</v>
      </c>
      <c r="N18" s="192">
        <f t="shared" si="3"/>
        <v>103.9</v>
      </c>
      <c r="O18" s="193">
        <f t="shared" si="4"/>
        <v>100.2</v>
      </c>
    </row>
    <row r="19" spans="1:15" ht="24.75" customHeight="1" hidden="1">
      <c r="A19" s="653" t="s">
        <v>120</v>
      </c>
      <c r="B19" s="658" t="s">
        <v>116</v>
      </c>
      <c r="C19" s="661"/>
      <c r="D19" s="186">
        <v>10862204</v>
      </c>
      <c r="E19" s="186">
        <v>10375040</v>
      </c>
      <c r="F19" s="186">
        <v>221136351</v>
      </c>
      <c r="G19" s="186">
        <v>220324731</v>
      </c>
      <c r="H19" s="186">
        <v>220324731</v>
      </c>
      <c r="I19" s="186">
        <v>110202</v>
      </c>
      <c r="J19" s="186">
        <v>100220</v>
      </c>
      <c r="K19" s="186">
        <f>ROUND((F19*1000)/D19,0)</f>
        <v>20358</v>
      </c>
      <c r="L19" s="187">
        <f t="shared" si="2"/>
        <v>100.4</v>
      </c>
      <c r="M19" s="187">
        <f t="shared" si="3"/>
        <v>89.8</v>
      </c>
      <c r="N19" s="187">
        <f t="shared" si="3"/>
        <v>89.8</v>
      </c>
      <c r="O19" s="188">
        <f>ROUND((J19/J16)*100,1)</f>
        <v>99.5</v>
      </c>
    </row>
    <row r="20" spans="1:15" ht="24.75" customHeight="1" hidden="1">
      <c r="A20" s="654"/>
      <c r="B20" s="662" t="s">
        <v>117</v>
      </c>
      <c r="C20" s="662"/>
      <c r="D20" s="189">
        <v>13857778</v>
      </c>
      <c r="E20" s="189">
        <v>13825382</v>
      </c>
      <c r="F20" s="189">
        <v>640765186</v>
      </c>
      <c r="G20" s="189">
        <v>640662117</v>
      </c>
      <c r="H20" s="189">
        <v>637737393</v>
      </c>
      <c r="I20" s="189">
        <v>53711</v>
      </c>
      <c r="J20" s="189">
        <v>52636</v>
      </c>
      <c r="K20" s="189">
        <f>ROUND((F20*1000)/D20,0)</f>
        <v>46239</v>
      </c>
      <c r="L20" s="190">
        <f t="shared" si="2"/>
        <v>100.9</v>
      </c>
      <c r="M20" s="190">
        <f t="shared" si="3"/>
        <v>92.6</v>
      </c>
      <c r="N20" s="190">
        <f t="shared" si="3"/>
        <v>92.6</v>
      </c>
      <c r="O20" s="191">
        <f>ROUND((J20/J17)*100,1)</f>
        <v>100.4</v>
      </c>
    </row>
    <row r="21" spans="1:15" ht="24.75" customHeight="1" hidden="1">
      <c r="A21" s="657"/>
      <c r="B21" s="658" t="s">
        <v>3</v>
      </c>
      <c r="C21" s="626"/>
      <c r="D21" s="186">
        <f aca="true" t="shared" si="8" ref="D21:J21">D19+D20</f>
        <v>24719982</v>
      </c>
      <c r="E21" s="186">
        <f t="shared" si="8"/>
        <v>24200422</v>
      </c>
      <c r="F21" s="186">
        <f t="shared" si="8"/>
        <v>861901537</v>
      </c>
      <c r="G21" s="186">
        <f t="shared" si="8"/>
        <v>860986848</v>
      </c>
      <c r="H21" s="186">
        <f t="shared" si="8"/>
        <v>858062124</v>
      </c>
      <c r="I21" s="186">
        <f t="shared" si="8"/>
        <v>163913</v>
      </c>
      <c r="J21" s="186">
        <f t="shared" si="8"/>
        <v>152856</v>
      </c>
      <c r="K21" s="107">
        <f>ROUND((F21*1000)/D21,0)</f>
        <v>34867</v>
      </c>
      <c r="L21" s="192">
        <f t="shared" si="2"/>
        <v>100.7</v>
      </c>
      <c r="M21" s="192">
        <f t="shared" si="3"/>
        <v>91.9</v>
      </c>
      <c r="N21" s="192">
        <f t="shared" si="3"/>
        <v>91.9</v>
      </c>
      <c r="O21" s="193">
        <f>ROUND((J21/J18)*100,1)</f>
        <v>99.8</v>
      </c>
    </row>
    <row r="22" spans="1:15" ht="24.75" customHeight="1" hidden="1">
      <c r="A22" s="653" t="s">
        <v>121</v>
      </c>
      <c r="B22" s="658" t="s">
        <v>116</v>
      </c>
      <c r="C22" s="661"/>
      <c r="D22" s="186">
        <v>10945485</v>
      </c>
      <c r="E22" s="186">
        <v>10467098</v>
      </c>
      <c r="F22" s="186">
        <v>233564510</v>
      </c>
      <c r="G22" s="186">
        <v>232767609</v>
      </c>
      <c r="H22" s="186">
        <v>232767609</v>
      </c>
      <c r="I22" s="186">
        <v>110191</v>
      </c>
      <c r="J22" s="186">
        <v>100358</v>
      </c>
      <c r="K22" s="186">
        <f aca="true" t="shared" si="9" ref="K22:K27">ROUND((F22*1000)/D22,0)</f>
        <v>21339</v>
      </c>
      <c r="L22" s="187">
        <f t="shared" si="2"/>
        <v>100.9</v>
      </c>
      <c r="M22" s="187">
        <f t="shared" si="3"/>
        <v>105.6</v>
      </c>
      <c r="N22" s="187">
        <f t="shared" si="3"/>
        <v>105.6</v>
      </c>
      <c r="O22" s="188">
        <f aca="true" t="shared" si="10" ref="O22:O72">ROUND((J22/J19)*100,1)</f>
        <v>100.1</v>
      </c>
    </row>
    <row r="23" spans="1:15" ht="24.75" customHeight="1" hidden="1">
      <c r="A23" s="654"/>
      <c r="B23" s="662" t="s">
        <v>117</v>
      </c>
      <c r="C23" s="662"/>
      <c r="D23" s="189">
        <v>13997017</v>
      </c>
      <c r="E23" s="189">
        <v>13964678</v>
      </c>
      <c r="F23" s="189">
        <v>659357762</v>
      </c>
      <c r="G23" s="189">
        <v>659254505</v>
      </c>
      <c r="H23" s="189">
        <v>656329781</v>
      </c>
      <c r="I23" s="189">
        <v>54019</v>
      </c>
      <c r="J23" s="189">
        <v>52941</v>
      </c>
      <c r="K23" s="189">
        <f t="shared" si="9"/>
        <v>47107</v>
      </c>
      <c r="L23" s="190">
        <f t="shared" si="2"/>
        <v>101</v>
      </c>
      <c r="M23" s="190">
        <f t="shared" si="3"/>
        <v>102.9</v>
      </c>
      <c r="N23" s="190">
        <f t="shared" si="3"/>
        <v>102.9</v>
      </c>
      <c r="O23" s="191">
        <f t="shared" si="10"/>
        <v>100.6</v>
      </c>
    </row>
    <row r="24" spans="1:15" ht="24.75" customHeight="1" hidden="1">
      <c r="A24" s="657"/>
      <c r="B24" s="658" t="s">
        <v>3</v>
      </c>
      <c r="C24" s="626"/>
      <c r="D24" s="186">
        <f aca="true" t="shared" si="11" ref="D24:J24">D22+D23</f>
        <v>24942502</v>
      </c>
      <c r="E24" s="186">
        <f t="shared" si="11"/>
        <v>24431776</v>
      </c>
      <c r="F24" s="186">
        <f t="shared" si="11"/>
        <v>892922272</v>
      </c>
      <c r="G24" s="186">
        <f t="shared" si="11"/>
        <v>892022114</v>
      </c>
      <c r="H24" s="186">
        <f t="shared" si="11"/>
        <v>889097390</v>
      </c>
      <c r="I24" s="186">
        <f t="shared" si="11"/>
        <v>164210</v>
      </c>
      <c r="J24" s="186">
        <f t="shared" si="11"/>
        <v>153299</v>
      </c>
      <c r="K24" s="186">
        <f t="shared" si="9"/>
        <v>35799</v>
      </c>
      <c r="L24" s="187">
        <f t="shared" si="2"/>
        <v>101</v>
      </c>
      <c r="M24" s="187">
        <f t="shared" si="3"/>
        <v>103.6</v>
      </c>
      <c r="N24" s="187">
        <f t="shared" si="3"/>
        <v>103.6</v>
      </c>
      <c r="O24" s="188">
        <f t="shared" si="10"/>
        <v>100.3</v>
      </c>
    </row>
    <row r="25" spans="1:15" ht="24.75" customHeight="1" hidden="1">
      <c r="A25" s="653" t="s">
        <v>122</v>
      </c>
      <c r="B25" s="658" t="s">
        <v>116</v>
      </c>
      <c r="C25" s="622"/>
      <c r="D25" s="186">
        <v>11025859</v>
      </c>
      <c r="E25" s="186">
        <v>10559628</v>
      </c>
      <c r="F25" s="186">
        <v>245894335</v>
      </c>
      <c r="G25" s="186">
        <v>245116218</v>
      </c>
      <c r="H25" s="186">
        <v>245116218</v>
      </c>
      <c r="I25" s="186">
        <v>110134</v>
      </c>
      <c r="J25" s="186">
        <v>100514</v>
      </c>
      <c r="K25" s="186">
        <f t="shared" si="9"/>
        <v>22302</v>
      </c>
      <c r="L25" s="187">
        <f t="shared" si="2"/>
        <v>100.9</v>
      </c>
      <c r="M25" s="187">
        <f t="shared" si="3"/>
        <v>105.3</v>
      </c>
      <c r="N25" s="187">
        <f t="shared" si="3"/>
        <v>105.3</v>
      </c>
      <c r="O25" s="188">
        <f t="shared" si="10"/>
        <v>100.2</v>
      </c>
    </row>
    <row r="26" spans="1:15" ht="24.75" customHeight="1" hidden="1">
      <c r="A26" s="654"/>
      <c r="B26" s="659" t="s">
        <v>117</v>
      </c>
      <c r="C26" s="624"/>
      <c r="D26" s="189">
        <v>14127800</v>
      </c>
      <c r="E26" s="189">
        <v>14095710</v>
      </c>
      <c r="F26" s="189">
        <v>675538353</v>
      </c>
      <c r="G26" s="189">
        <v>675435423</v>
      </c>
      <c r="H26" s="189">
        <v>672496590</v>
      </c>
      <c r="I26" s="189">
        <v>54470</v>
      </c>
      <c r="J26" s="189">
        <v>53395</v>
      </c>
      <c r="K26" s="189">
        <f t="shared" si="9"/>
        <v>47816</v>
      </c>
      <c r="L26" s="190">
        <f t="shared" si="2"/>
        <v>100.9</v>
      </c>
      <c r="M26" s="190">
        <f aca="true" t="shared" si="12" ref="M26:N41">ROUND((G26/G23)*100,1)</f>
        <v>102.5</v>
      </c>
      <c r="N26" s="190">
        <f t="shared" si="12"/>
        <v>102.5</v>
      </c>
      <c r="O26" s="191">
        <f t="shared" si="10"/>
        <v>100.9</v>
      </c>
    </row>
    <row r="27" spans="1:15" ht="24.75" customHeight="1" hidden="1">
      <c r="A27" s="657"/>
      <c r="B27" s="658" t="s">
        <v>3</v>
      </c>
      <c r="C27" s="626"/>
      <c r="D27" s="186">
        <f aca="true" t="shared" si="13" ref="D27:J27">D25+D26</f>
        <v>25153659</v>
      </c>
      <c r="E27" s="186">
        <f t="shared" si="13"/>
        <v>24655338</v>
      </c>
      <c r="F27" s="186">
        <f t="shared" si="13"/>
        <v>921432688</v>
      </c>
      <c r="G27" s="186">
        <f t="shared" si="13"/>
        <v>920551641</v>
      </c>
      <c r="H27" s="186">
        <f t="shared" si="13"/>
        <v>917612808</v>
      </c>
      <c r="I27" s="186">
        <f t="shared" si="13"/>
        <v>164604</v>
      </c>
      <c r="J27" s="186">
        <f t="shared" si="13"/>
        <v>153909</v>
      </c>
      <c r="K27" s="186">
        <f t="shared" si="9"/>
        <v>36632</v>
      </c>
      <c r="L27" s="187">
        <f t="shared" si="2"/>
        <v>100.9</v>
      </c>
      <c r="M27" s="187">
        <f t="shared" si="12"/>
        <v>103.2</v>
      </c>
      <c r="N27" s="187">
        <f t="shared" si="12"/>
        <v>103.2</v>
      </c>
      <c r="O27" s="188">
        <f t="shared" si="10"/>
        <v>100.4</v>
      </c>
    </row>
    <row r="28" spans="1:15" ht="24.75" customHeight="1" hidden="1">
      <c r="A28" s="653" t="s">
        <v>123</v>
      </c>
      <c r="B28" s="658" t="s">
        <v>116</v>
      </c>
      <c r="C28" s="622"/>
      <c r="D28" s="186">
        <v>11570304</v>
      </c>
      <c r="E28" s="186">
        <v>11085508</v>
      </c>
      <c r="F28" s="186">
        <v>246298426</v>
      </c>
      <c r="G28" s="186">
        <v>245512730</v>
      </c>
      <c r="H28" s="186">
        <v>245512300</v>
      </c>
      <c r="I28" s="186">
        <v>114017</v>
      </c>
      <c r="J28" s="186">
        <v>104185</v>
      </c>
      <c r="K28" s="186">
        <v>22302</v>
      </c>
      <c r="L28" s="187">
        <f t="shared" si="2"/>
        <v>105</v>
      </c>
      <c r="M28" s="187">
        <f t="shared" si="12"/>
        <v>100.2</v>
      </c>
      <c r="N28" s="187">
        <f t="shared" si="12"/>
        <v>100.2</v>
      </c>
      <c r="O28" s="188">
        <f t="shared" si="10"/>
        <v>103.7</v>
      </c>
    </row>
    <row r="29" spans="1:15" ht="24.75" customHeight="1" hidden="1">
      <c r="A29" s="654"/>
      <c r="B29" s="659" t="s">
        <v>117</v>
      </c>
      <c r="C29" s="624"/>
      <c r="D29" s="189">
        <v>15076650</v>
      </c>
      <c r="E29" s="189">
        <v>15039711</v>
      </c>
      <c r="F29" s="189">
        <v>646547798</v>
      </c>
      <c r="G29" s="189">
        <v>646433099</v>
      </c>
      <c r="H29" s="189">
        <v>643861576</v>
      </c>
      <c r="I29" s="189">
        <v>56980</v>
      </c>
      <c r="J29" s="189">
        <v>55744</v>
      </c>
      <c r="K29" s="189">
        <v>47816</v>
      </c>
      <c r="L29" s="190">
        <f t="shared" si="2"/>
        <v>106.7</v>
      </c>
      <c r="M29" s="190">
        <f t="shared" si="12"/>
        <v>95.7</v>
      </c>
      <c r="N29" s="190">
        <f t="shared" si="12"/>
        <v>95.7</v>
      </c>
      <c r="O29" s="191">
        <f t="shared" si="10"/>
        <v>104.4</v>
      </c>
    </row>
    <row r="30" spans="1:15" ht="24.75" customHeight="1" hidden="1">
      <c r="A30" s="657"/>
      <c r="B30" s="658" t="s">
        <v>3</v>
      </c>
      <c r="C30" s="626"/>
      <c r="D30" s="186">
        <f aca="true" t="shared" si="14" ref="D30:J30">D28+D29</f>
        <v>26646954</v>
      </c>
      <c r="E30" s="186">
        <f t="shared" si="14"/>
        <v>26125219</v>
      </c>
      <c r="F30" s="186">
        <f t="shared" si="14"/>
        <v>892846224</v>
      </c>
      <c r="G30" s="186">
        <f t="shared" si="14"/>
        <v>891945829</v>
      </c>
      <c r="H30" s="186">
        <f t="shared" si="14"/>
        <v>889373876</v>
      </c>
      <c r="I30" s="186">
        <f t="shared" si="14"/>
        <v>170997</v>
      </c>
      <c r="J30" s="186">
        <f t="shared" si="14"/>
        <v>159929</v>
      </c>
      <c r="K30" s="186">
        <f aca="true" t="shared" si="15" ref="K30:K42">ROUND((F30*1000)/D30,0)</f>
        <v>33507</v>
      </c>
      <c r="L30" s="187">
        <f t="shared" si="2"/>
        <v>106</v>
      </c>
      <c r="M30" s="187">
        <f>ROUND((G30/G27)*100,1)</f>
        <v>96.9</v>
      </c>
      <c r="N30" s="187">
        <f>ROUND((H30/H27)*100,1)</f>
        <v>96.9</v>
      </c>
      <c r="O30" s="188">
        <f>ROUND((J30/J27)*100,1)</f>
        <v>103.9</v>
      </c>
    </row>
    <row r="31" spans="1:15" ht="24.75" customHeight="1" hidden="1">
      <c r="A31" s="653" t="s">
        <v>124</v>
      </c>
      <c r="B31" s="658" t="s">
        <v>116</v>
      </c>
      <c r="C31" s="622"/>
      <c r="D31" s="186">
        <v>11644353</v>
      </c>
      <c r="E31" s="186">
        <v>11172127</v>
      </c>
      <c r="F31" s="186">
        <v>258548863</v>
      </c>
      <c r="G31" s="186">
        <v>257783622</v>
      </c>
      <c r="H31" s="186">
        <v>257783192</v>
      </c>
      <c r="I31" s="186">
        <v>113866</v>
      </c>
      <c r="J31" s="186">
        <v>104269</v>
      </c>
      <c r="K31" s="186">
        <f t="shared" si="15"/>
        <v>22204</v>
      </c>
      <c r="L31" s="187">
        <f t="shared" si="2"/>
        <v>100.8</v>
      </c>
      <c r="M31" s="187">
        <f>ROUND((G31/G28)*100,1)</f>
        <v>105</v>
      </c>
      <c r="N31" s="187">
        <f t="shared" si="12"/>
        <v>105</v>
      </c>
      <c r="O31" s="188">
        <f t="shared" si="10"/>
        <v>100.1</v>
      </c>
    </row>
    <row r="32" spans="1:15" ht="24.75" customHeight="1" hidden="1">
      <c r="A32" s="654"/>
      <c r="B32" s="659" t="s">
        <v>117</v>
      </c>
      <c r="C32" s="624"/>
      <c r="D32" s="189">
        <v>15201541</v>
      </c>
      <c r="E32" s="189">
        <v>15165353</v>
      </c>
      <c r="F32" s="189">
        <v>662904968</v>
      </c>
      <c r="G32" s="189">
        <v>662791907</v>
      </c>
      <c r="H32" s="189">
        <v>660356657</v>
      </c>
      <c r="I32" s="189">
        <v>57154</v>
      </c>
      <c r="J32" s="189">
        <v>55931</v>
      </c>
      <c r="K32" s="189">
        <f t="shared" si="15"/>
        <v>43608</v>
      </c>
      <c r="L32" s="190">
        <f t="shared" si="2"/>
        <v>100.8</v>
      </c>
      <c r="M32" s="190">
        <f t="shared" si="12"/>
        <v>102.5</v>
      </c>
      <c r="N32" s="190">
        <f t="shared" si="12"/>
        <v>102.6</v>
      </c>
      <c r="O32" s="191">
        <f t="shared" si="10"/>
        <v>100.3</v>
      </c>
    </row>
    <row r="33" spans="1:15" ht="24.75" customHeight="1" hidden="1">
      <c r="A33" s="657"/>
      <c r="B33" s="658" t="s">
        <v>3</v>
      </c>
      <c r="C33" s="626"/>
      <c r="D33" s="186">
        <f aca="true" t="shared" si="16" ref="D33:J33">D31+D32</f>
        <v>26845894</v>
      </c>
      <c r="E33" s="186">
        <f t="shared" si="16"/>
        <v>26337480</v>
      </c>
      <c r="F33" s="186">
        <f t="shared" si="16"/>
        <v>921453831</v>
      </c>
      <c r="G33" s="186">
        <f t="shared" si="16"/>
        <v>920575529</v>
      </c>
      <c r="H33" s="186">
        <f t="shared" si="16"/>
        <v>918139849</v>
      </c>
      <c r="I33" s="186">
        <f t="shared" si="16"/>
        <v>171020</v>
      </c>
      <c r="J33" s="186">
        <f t="shared" si="16"/>
        <v>160200</v>
      </c>
      <c r="K33" s="186">
        <f t="shared" si="15"/>
        <v>34324</v>
      </c>
      <c r="L33" s="187">
        <f t="shared" si="2"/>
        <v>100.8</v>
      </c>
      <c r="M33" s="187">
        <f t="shared" si="12"/>
        <v>103.2</v>
      </c>
      <c r="N33" s="187">
        <f t="shared" si="12"/>
        <v>103.2</v>
      </c>
      <c r="O33" s="188">
        <f t="shared" si="10"/>
        <v>100.2</v>
      </c>
    </row>
    <row r="34" spans="1:15" ht="24.75" customHeight="1" hidden="1">
      <c r="A34" s="653" t="s">
        <v>125</v>
      </c>
      <c r="B34" s="658" t="s">
        <v>116</v>
      </c>
      <c r="C34" s="622"/>
      <c r="D34" s="186">
        <v>11764921</v>
      </c>
      <c r="E34" s="186">
        <v>11301499</v>
      </c>
      <c r="F34" s="186">
        <v>272796901</v>
      </c>
      <c r="G34" s="186">
        <v>272045463</v>
      </c>
      <c r="H34" s="186">
        <v>272044578</v>
      </c>
      <c r="I34" s="186">
        <v>114089</v>
      </c>
      <c r="J34" s="186">
        <v>104693</v>
      </c>
      <c r="K34" s="186">
        <f t="shared" si="15"/>
        <v>23187</v>
      </c>
      <c r="L34" s="187">
        <f t="shared" si="2"/>
        <v>101.2</v>
      </c>
      <c r="M34" s="187">
        <f t="shared" si="12"/>
        <v>105.5</v>
      </c>
      <c r="N34" s="187">
        <f t="shared" si="12"/>
        <v>105.5</v>
      </c>
      <c r="O34" s="188">
        <f t="shared" si="10"/>
        <v>100.4</v>
      </c>
    </row>
    <row r="35" spans="1:15" ht="24.75" customHeight="1" hidden="1">
      <c r="A35" s="654"/>
      <c r="B35" s="659" t="s">
        <v>117</v>
      </c>
      <c r="C35" s="624"/>
      <c r="D35" s="189">
        <v>15384231</v>
      </c>
      <c r="E35" s="189">
        <v>15348141</v>
      </c>
      <c r="F35" s="189">
        <v>679849351</v>
      </c>
      <c r="G35" s="189">
        <v>679735886</v>
      </c>
      <c r="H35" s="189">
        <v>676654707</v>
      </c>
      <c r="I35" s="189">
        <v>57533</v>
      </c>
      <c r="J35" s="189">
        <v>56306</v>
      </c>
      <c r="K35" s="189">
        <f t="shared" si="15"/>
        <v>44191</v>
      </c>
      <c r="L35" s="190">
        <f t="shared" si="2"/>
        <v>101.2</v>
      </c>
      <c r="M35" s="190">
        <f t="shared" si="12"/>
        <v>102.6</v>
      </c>
      <c r="N35" s="190">
        <f t="shared" si="12"/>
        <v>102.5</v>
      </c>
      <c r="O35" s="191">
        <f t="shared" si="10"/>
        <v>100.7</v>
      </c>
    </row>
    <row r="36" spans="1:15" ht="24.75" customHeight="1" hidden="1">
      <c r="A36" s="657"/>
      <c r="B36" s="658" t="s">
        <v>3</v>
      </c>
      <c r="C36" s="626"/>
      <c r="D36" s="186">
        <f aca="true" t="shared" si="17" ref="D36:J36">D34+D35</f>
        <v>27149152</v>
      </c>
      <c r="E36" s="186">
        <f t="shared" si="17"/>
        <v>26649640</v>
      </c>
      <c r="F36" s="186">
        <f t="shared" si="17"/>
        <v>952646252</v>
      </c>
      <c r="G36" s="186">
        <f t="shared" si="17"/>
        <v>951781349</v>
      </c>
      <c r="H36" s="186">
        <f t="shared" si="17"/>
        <v>948699285</v>
      </c>
      <c r="I36" s="186">
        <f t="shared" si="17"/>
        <v>171622</v>
      </c>
      <c r="J36" s="186">
        <f t="shared" si="17"/>
        <v>160999</v>
      </c>
      <c r="K36" s="186">
        <f t="shared" si="15"/>
        <v>35089</v>
      </c>
      <c r="L36" s="187">
        <f t="shared" si="2"/>
        <v>101.2</v>
      </c>
      <c r="M36" s="187">
        <f t="shared" si="12"/>
        <v>103.4</v>
      </c>
      <c r="N36" s="187">
        <f t="shared" si="12"/>
        <v>103.3</v>
      </c>
      <c r="O36" s="188">
        <f t="shared" si="10"/>
        <v>100.5</v>
      </c>
    </row>
    <row r="37" spans="1:15" ht="24.75" customHeight="1" hidden="1">
      <c r="A37" s="653" t="s">
        <v>126</v>
      </c>
      <c r="B37" s="658" t="s">
        <v>116</v>
      </c>
      <c r="C37" s="622"/>
      <c r="D37" s="186">
        <v>11856230</v>
      </c>
      <c r="E37" s="186">
        <v>11402264</v>
      </c>
      <c r="F37" s="186">
        <v>262065386</v>
      </c>
      <c r="G37" s="186">
        <v>261326710</v>
      </c>
      <c r="H37" s="186">
        <v>261325525</v>
      </c>
      <c r="I37" s="186">
        <v>114065</v>
      </c>
      <c r="J37" s="186">
        <v>104822</v>
      </c>
      <c r="K37" s="186">
        <f t="shared" si="15"/>
        <v>22104</v>
      </c>
      <c r="L37" s="187">
        <f t="shared" si="2"/>
        <v>100.9</v>
      </c>
      <c r="M37" s="187">
        <f t="shared" si="12"/>
        <v>96.1</v>
      </c>
      <c r="N37" s="187">
        <f t="shared" si="12"/>
        <v>96.1</v>
      </c>
      <c r="O37" s="188">
        <f t="shared" si="10"/>
        <v>100.1</v>
      </c>
    </row>
    <row r="38" spans="1:15" ht="24.75" customHeight="1" hidden="1">
      <c r="A38" s="654"/>
      <c r="B38" s="659" t="s">
        <v>117</v>
      </c>
      <c r="C38" s="624"/>
      <c r="D38" s="189">
        <v>15474486</v>
      </c>
      <c r="E38" s="189">
        <v>15437316</v>
      </c>
      <c r="F38" s="189">
        <v>664507845</v>
      </c>
      <c r="G38" s="189">
        <v>664391591</v>
      </c>
      <c r="H38" s="189">
        <v>661569436</v>
      </c>
      <c r="I38" s="189">
        <v>57582</v>
      </c>
      <c r="J38" s="189">
        <v>56308</v>
      </c>
      <c r="K38" s="189">
        <f t="shared" si="15"/>
        <v>42942</v>
      </c>
      <c r="L38" s="190">
        <f t="shared" si="2"/>
        <v>100.6</v>
      </c>
      <c r="M38" s="190">
        <f t="shared" si="12"/>
        <v>97.7</v>
      </c>
      <c r="N38" s="190">
        <f t="shared" si="12"/>
        <v>97.8</v>
      </c>
      <c r="O38" s="191">
        <f t="shared" si="10"/>
        <v>100</v>
      </c>
    </row>
    <row r="39" spans="1:15" ht="24.75" customHeight="1" hidden="1">
      <c r="A39" s="657"/>
      <c r="B39" s="658" t="s">
        <v>3</v>
      </c>
      <c r="C39" s="626"/>
      <c r="D39" s="186">
        <f aca="true" t="shared" si="18" ref="D39:J39">D37+D38</f>
        <v>27330716</v>
      </c>
      <c r="E39" s="186">
        <f t="shared" si="18"/>
        <v>26839580</v>
      </c>
      <c r="F39" s="186">
        <f t="shared" si="18"/>
        <v>926573231</v>
      </c>
      <c r="G39" s="186">
        <f t="shared" si="18"/>
        <v>925718301</v>
      </c>
      <c r="H39" s="186">
        <f t="shared" si="18"/>
        <v>922894961</v>
      </c>
      <c r="I39" s="186">
        <f t="shared" si="18"/>
        <v>171647</v>
      </c>
      <c r="J39" s="186">
        <f t="shared" si="18"/>
        <v>161130</v>
      </c>
      <c r="K39" s="186">
        <f t="shared" si="15"/>
        <v>33902</v>
      </c>
      <c r="L39" s="187">
        <f t="shared" si="2"/>
        <v>100.7</v>
      </c>
      <c r="M39" s="187">
        <f t="shared" si="12"/>
        <v>97.3</v>
      </c>
      <c r="N39" s="187">
        <f t="shared" si="12"/>
        <v>97.3</v>
      </c>
      <c r="O39" s="188">
        <f t="shared" si="10"/>
        <v>100.1</v>
      </c>
    </row>
    <row r="40" spans="1:15" ht="24.75" customHeight="1" hidden="1">
      <c r="A40" s="653" t="s">
        <v>127</v>
      </c>
      <c r="B40" s="658" t="s">
        <v>116</v>
      </c>
      <c r="C40" s="622"/>
      <c r="D40" s="186">
        <v>11941890</v>
      </c>
      <c r="E40" s="186">
        <v>11499743</v>
      </c>
      <c r="F40" s="186">
        <v>273799588</v>
      </c>
      <c r="G40" s="186">
        <v>273078603</v>
      </c>
      <c r="H40" s="186">
        <v>273077417</v>
      </c>
      <c r="I40" s="186">
        <v>114168</v>
      </c>
      <c r="J40" s="186">
        <v>105165</v>
      </c>
      <c r="K40" s="186">
        <f t="shared" si="15"/>
        <v>22928</v>
      </c>
      <c r="L40" s="187">
        <f t="shared" si="2"/>
        <v>100.9</v>
      </c>
      <c r="M40" s="187">
        <f t="shared" si="12"/>
        <v>104.5</v>
      </c>
      <c r="N40" s="187">
        <f t="shared" si="12"/>
        <v>104.5</v>
      </c>
      <c r="O40" s="188">
        <f t="shared" si="10"/>
        <v>100.3</v>
      </c>
    </row>
    <row r="41" spans="1:15" ht="24.75" customHeight="1" hidden="1">
      <c r="A41" s="654"/>
      <c r="B41" s="659" t="s">
        <v>117</v>
      </c>
      <c r="C41" s="624"/>
      <c r="D41" s="189">
        <v>15530312</v>
      </c>
      <c r="E41" s="189">
        <v>15493478</v>
      </c>
      <c r="F41" s="189">
        <v>673731915</v>
      </c>
      <c r="G41" s="189">
        <v>673615799</v>
      </c>
      <c r="H41" s="189">
        <v>670818063</v>
      </c>
      <c r="I41" s="189">
        <v>57682</v>
      </c>
      <c r="J41" s="189">
        <v>56414</v>
      </c>
      <c r="K41" s="189">
        <f t="shared" si="15"/>
        <v>43382</v>
      </c>
      <c r="L41" s="190">
        <f t="shared" si="2"/>
        <v>100.4</v>
      </c>
      <c r="M41" s="190">
        <f t="shared" si="12"/>
        <v>101.4</v>
      </c>
      <c r="N41" s="190">
        <f t="shared" si="12"/>
        <v>101.4</v>
      </c>
      <c r="O41" s="191">
        <f t="shared" si="10"/>
        <v>100.2</v>
      </c>
    </row>
    <row r="42" spans="1:15" ht="24.75" customHeight="1" hidden="1">
      <c r="A42" s="657"/>
      <c r="B42" s="658" t="s">
        <v>3</v>
      </c>
      <c r="C42" s="626"/>
      <c r="D42" s="186">
        <f aca="true" t="shared" si="19" ref="D42:J42">D40+D41</f>
        <v>27472202</v>
      </c>
      <c r="E42" s="186">
        <f t="shared" si="19"/>
        <v>26993221</v>
      </c>
      <c r="F42" s="186">
        <f t="shared" si="19"/>
        <v>947531503</v>
      </c>
      <c r="G42" s="186">
        <f t="shared" si="19"/>
        <v>946694402</v>
      </c>
      <c r="H42" s="186">
        <f t="shared" si="19"/>
        <v>943895480</v>
      </c>
      <c r="I42" s="186">
        <f t="shared" si="19"/>
        <v>171850</v>
      </c>
      <c r="J42" s="186">
        <f t="shared" si="19"/>
        <v>161579</v>
      </c>
      <c r="K42" s="186">
        <f t="shared" si="15"/>
        <v>34491</v>
      </c>
      <c r="L42" s="187">
        <f t="shared" si="2"/>
        <v>100.6</v>
      </c>
      <c r="M42" s="187">
        <f aca="true" t="shared" si="20" ref="M42:N57">ROUND((G42/G39)*100,1)</f>
        <v>102.3</v>
      </c>
      <c r="N42" s="187">
        <f t="shared" si="20"/>
        <v>102.3</v>
      </c>
      <c r="O42" s="188">
        <f t="shared" si="10"/>
        <v>100.3</v>
      </c>
    </row>
    <row r="43" spans="1:15" ht="24.75" customHeight="1" hidden="1">
      <c r="A43" s="653" t="s">
        <v>128</v>
      </c>
      <c r="B43" s="658" t="s">
        <v>116</v>
      </c>
      <c r="C43" s="622"/>
      <c r="D43" s="186">
        <v>12022260</v>
      </c>
      <c r="E43" s="186">
        <v>11591800</v>
      </c>
      <c r="F43" s="186">
        <v>285559839</v>
      </c>
      <c r="G43" s="186">
        <v>284857890</v>
      </c>
      <c r="H43" s="186">
        <v>284856704</v>
      </c>
      <c r="I43" s="186">
        <v>114202</v>
      </c>
      <c r="J43" s="186">
        <v>105443</v>
      </c>
      <c r="K43" s="186">
        <f>ROUND((F43*1000)/D43,0)</f>
        <v>23753</v>
      </c>
      <c r="L43" s="187">
        <f t="shared" si="2"/>
        <v>100.8</v>
      </c>
      <c r="M43" s="187">
        <f t="shared" si="20"/>
        <v>104.3</v>
      </c>
      <c r="N43" s="187">
        <f t="shared" si="20"/>
        <v>104.3</v>
      </c>
      <c r="O43" s="188">
        <f t="shared" si="10"/>
        <v>100.3</v>
      </c>
    </row>
    <row r="44" spans="1:15" ht="24.75" customHeight="1" hidden="1">
      <c r="A44" s="654"/>
      <c r="B44" s="659" t="s">
        <v>117</v>
      </c>
      <c r="C44" s="624"/>
      <c r="D44" s="189">
        <v>15517951</v>
      </c>
      <c r="E44" s="189">
        <v>15482031</v>
      </c>
      <c r="F44" s="189">
        <v>678644734</v>
      </c>
      <c r="G44" s="189">
        <v>678530048</v>
      </c>
      <c r="H44" s="189">
        <v>675804049</v>
      </c>
      <c r="I44" s="189">
        <v>57692</v>
      </c>
      <c r="J44" s="189">
        <v>56430</v>
      </c>
      <c r="K44" s="189">
        <f>ROUND((F44*1000)/D44,0)</f>
        <v>43733</v>
      </c>
      <c r="L44" s="190">
        <f t="shared" si="2"/>
        <v>99.9</v>
      </c>
      <c r="M44" s="190">
        <f t="shared" si="20"/>
        <v>100.7</v>
      </c>
      <c r="N44" s="190">
        <f t="shared" si="20"/>
        <v>100.7</v>
      </c>
      <c r="O44" s="191">
        <f t="shared" si="10"/>
        <v>100</v>
      </c>
    </row>
    <row r="45" spans="1:15" ht="24.75" customHeight="1" hidden="1">
      <c r="A45" s="657"/>
      <c r="B45" s="658" t="s">
        <v>3</v>
      </c>
      <c r="C45" s="626"/>
      <c r="D45" s="186">
        <f aca="true" t="shared" si="21" ref="D45:J45">D43+D44</f>
        <v>27540211</v>
      </c>
      <c r="E45" s="186">
        <f t="shared" si="21"/>
        <v>27073831</v>
      </c>
      <c r="F45" s="186">
        <f t="shared" si="21"/>
        <v>964204573</v>
      </c>
      <c r="G45" s="186">
        <f t="shared" si="21"/>
        <v>963387938</v>
      </c>
      <c r="H45" s="186">
        <f t="shared" si="21"/>
        <v>960660753</v>
      </c>
      <c r="I45" s="186">
        <f t="shared" si="21"/>
        <v>171894</v>
      </c>
      <c r="J45" s="186">
        <f t="shared" si="21"/>
        <v>161873</v>
      </c>
      <c r="K45" s="186">
        <f>ROUND((F45*1000)/D45,0)</f>
        <v>35011</v>
      </c>
      <c r="L45" s="187">
        <f t="shared" si="2"/>
        <v>100.3</v>
      </c>
      <c r="M45" s="187">
        <f t="shared" si="20"/>
        <v>101.8</v>
      </c>
      <c r="N45" s="187">
        <f t="shared" si="20"/>
        <v>101.8</v>
      </c>
      <c r="O45" s="188">
        <f t="shared" si="10"/>
        <v>100.2</v>
      </c>
    </row>
    <row r="46" spans="1:15" ht="24.75" customHeight="1" hidden="1">
      <c r="A46" s="653" t="s">
        <v>87</v>
      </c>
      <c r="B46" s="658" t="s">
        <v>116</v>
      </c>
      <c r="C46" s="622"/>
      <c r="D46" s="186">
        <v>12116445</v>
      </c>
      <c r="E46" s="186">
        <v>11698044</v>
      </c>
      <c r="F46" s="186">
        <v>265452034</v>
      </c>
      <c r="G46" s="186">
        <v>264767892</v>
      </c>
      <c r="H46" s="186">
        <v>264766440</v>
      </c>
      <c r="I46" s="186">
        <v>114489</v>
      </c>
      <c r="J46" s="186">
        <v>105931</v>
      </c>
      <c r="K46" s="186">
        <f aca="true" t="shared" si="22" ref="K46:K89">ROUND((F46*1000)/D46,0)</f>
        <v>21908</v>
      </c>
      <c r="L46" s="187">
        <f t="shared" si="2"/>
        <v>100.9</v>
      </c>
      <c r="M46" s="187">
        <f t="shared" si="20"/>
        <v>92.9</v>
      </c>
      <c r="N46" s="187">
        <f t="shared" si="20"/>
        <v>92.9</v>
      </c>
      <c r="O46" s="188">
        <f t="shared" si="10"/>
        <v>100.5</v>
      </c>
    </row>
    <row r="47" spans="1:15" ht="24.75" customHeight="1" hidden="1">
      <c r="A47" s="654"/>
      <c r="B47" s="659" t="s">
        <v>117</v>
      </c>
      <c r="C47" s="624"/>
      <c r="D47" s="99">
        <v>15557279</v>
      </c>
      <c r="E47" s="99">
        <v>15518752</v>
      </c>
      <c r="F47" s="99">
        <v>608420194</v>
      </c>
      <c r="G47" s="99">
        <v>608299729</v>
      </c>
      <c r="H47" s="99">
        <v>605819399</v>
      </c>
      <c r="I47" s="99">
        <v>57775</v>
      </c>
      <c r="J47" s="99">
        <v>56432</v>
      </c>
      <c r="K47" s="189">
        <f t="shared" si="22"/>
        <v>39108</v>
      </c>
      <c r="L47" s="190">
        <f t="shared" si="2"/>
        <v>100.2</v>
      </c>
      <c r="M47" s="190">
        <f t="shared" si="20"/>
        <v>89.6</v>
      </c>
      <c r="N47" s="190">
        <f t="shared" si="20"/>
        <v>89.6</v>
      </c>
      <c r="O47" s="191">
        <f t="shared" si="10"/>
        <v>100</v>
      </c>
    </row>
    <row r="48" spans="1:15" ht="24.75" customHeight="1" hidden="1">
      <c r="A48" s="657"/>
      <c r="B48" s="658" t="s">
        <v>3</v>
      </c>
      <c r="C48" s="626"/>
      <c r="D48" s="186">
        <f aca="true" t="shared" si="23" ref="D48:J48">D46+D47</f>
        <v>27673724</v>
      </c>
      <c r="E48" s="186">
        <f t="shared" si="23"/>
        <v>27216796</v>
      </c>
      <c r="F48" s="186">
        <f t="shared" si="23"/>
        <v>873872228</v>
      </c>
      <c r="G48" s="186">
        <f t="shared" si="23"/>
        <v>873067621</v>
      </c>
      <c r="H48" s="186">
        <f t="shared" si="23"/>
        <v>870585839</v>
      </c>
      <c r="I48" s="186">
        <f t="shared" si="23"/>
        <v>172264</v>
      </c>
      <c r="J48" s="186">
        <f t="shared" si="23"/>
        <v>162363</v>
      </c>
      <c r="K48" s="186">
        <f t="shared" si="22"/>
        <v>31578</v>
      </c>
      <c r="L48" s="187">
        <f t="shared" si="2"/>
        <v>100.5</v>
      </c>
      <c r="M48" s="187">
        <f t="shared" si="20"/>
        <v>90.6</v>
      </c>
      <c r="N48" s="187">
        <f t="shared" si="20"/>
        <v>90.6</v>
      </c>
      <c r="O48" s="188">
        <f t="shared" si="10"/>
        <v>100.3</v>
      </c>
    </row>
    <row r="49" spans="1:15" ht="24.75" customHeight="1" hidden="1">
      <c r="A49" s="653" t="s">
        <v>129</v>
      </c>
      <c r="B49" s="658" t="s">
        <v>130</v>
      </c>
      <c r="C49" s="622"/>
      <c r="D49" s="186">
        <v>12195522</v>
      </c>
      <c r="E49" s="186">
        <v>11787156</v>
      </c>
      <c r="F49" s="186">
        <v>276860413</v>
      </c>
      <c r="G49" s="186">
        <v>276193045</v>
      </c>
      <c r="H49" s="186">
        <v>276191659</v>
      </c>
      <c r="I49" s="186">
        <v>114584</v>
      </c>
      <c r="J49" s="186">
        <v>106226</v>
      </c>
      <c r="K49" s="186">
        <f>ROUND((F49*1000)/D49,0)</f>
        <v>22702</v>
      </c>
      <c r="L49" s="187">
        <f t="shared" si="2"/>
        <v>100.8</v>
      </c>
      <c r="M49" s="187">
        <f t="shared" si="20"/>
        <v>104.3</v>
      </c>
      <c r="N49" s="187">
        <f t="shared" si="20"/>
        <v>104.3</v>
      </c>
      <c r="O49" s="188">
        <f t="shared" si="10"/>
        <v>100.3</v>
      </c>
    </row>
    <row r="50" spans="1:15" ht="24.75" customHeight="1" hidden="1">
      <c r="A50" s="654"/>
      <c r="B50" s="659" t="s">
        <v>131</v>
      </c>
      <c r="C50" s="624"/>
      <c r="D50" s="99">
        <v>15630855</v>
      </c>
      <c r="E50" s="99">
        <v>15592364</v>
      </c>
      <c r="F50" s="99">
        <v>619971080</v>
      </c>
      <c r="G50" s="99">
        <v>619849545</v>
      </c>
      <c r="H50" s="99">
        <v>617468861</v>
      </c>
      <c r="I50" s="99">
        <v>57850</v>
      </c>
      <c r="J50" s="99">
        <v>56505</v>
      </c>
      <c r="K50" s="99">
        <f t="shared" si="22"/>
        <v>39663</v>
      </c>
      <c r="L50" s="194">
        <f t="shared" si="2"/>
        <v>100.5</v>
      </c>
      <c r="M50" s="194">
        <f t="shared" si="20"/>
        <v>101.9</v>
      </c>
      <c r="N50" s="194">
        <f t="shared" si="20"/>
        <v>101.9</v>
      </c>
      <c r="O50" s="195">
        <f t="shared" si="10"/>
        <v>100.1</v>
      </c>
    </row>
    <row r="51" spans="1:15" ht="24.75" customHeight="1" hidden="1">
      <c r="A51" s="657"/>
      <c r="B51" s="660" t="s">
        <v>91</v>
      </c>
      <c r="C51" s="626"/>
      <c r="D51" s="186">
        <f aca="true" t="shared" si="24" ref="D51:J51">D49+D50</f>
        <v>27826377</v>
      </c>
      <c r="E51" s="186">
        <f t="shared" si="24"/>
        <v>27379520</v>
      </c>
      <c r="F51" s="186">
        <f t="shared" si="24"/>
        <v>896831493</v>
      </c>
      <c r="G51" s="186">
        <f t="shared" si="24"/>
        <v>896042590</v>
      </c>
      <c r="H51" s="186">
        <f t="shared" si="24"/>
        <v>893660520</v>
      </c>
      <c r="I51" s="186">
        <f t="shared" si="24"/>
        <v>172434</v>
      </c>
      <c r="J51" s="186">
        <f t="shared" si="24"/>
        <v>162731</v>
      </c>
      <c r="K51" s="186">
        <f t="shared" si="22"/>
        <v>32230</v>
      </c>
      <c r="L51" s="187">
        <f t="shared" si="2"/>
        <v>100.6</v>
      </c>
      <c r="M51" s="187">
        <f t="shared" si="20"/>
        <v>102.6</v>
      </c>
      <c r="N51" s="187">
        <f t="shared" si="20"/>
        <v>102.7</v>
      </c>
      <c r="O51" s="188">
        <f t="shared" si="10"/>
        <v>100.2</v>
      </c>
    </row>
    <row r="52" spans="1:15" ht="13.5" customHeight="1" hidden="1">
      <c r="A52" s="653" t="s">
        <v>132</v>
      </c>
      <c r="B52" s="658" t="s">
        <v>130</v>
      </c>
      <c r="C52" s="622"/>
      <c r="D52" s="186">
        <v>12289443</v>
      </c>
      <c r="E52" s="186">
        <v>11893220</v>
      </c>
      <c r="F52" s="186">
        <v>289188376</v>
      </c>
      <c r="G52" s="186">
        <v>288539531</v>
      </c>
      <c r="H52" s="186">
        <v>289185763</v>
      </c>
      <c r="I52" s="186">
        <v>114846</v>
      </c>
      <c r="J52" s="186">
        <v>106736</v>
      </c>
      <c r="K52" s="186">
        <f t="shared" si="22"/>
        <v>23531</v>
      </c>
      <c r="L52" s="187">
        <f t="shared" si="2"/>
        <v>100.9</v>
      </c>
      <c r="M52" s="187">
        <f t="shared" si="20"/>
        <v>104.5</v>
      </c>
      <c r="N52" s="187">
        <f>ROUND((H52/H49)*100,1)</f>
        <v>104.7</v>
      </c>
      <c r="O52" s="188">
        <f t="shared" si="10"/>
        <v>100.5</v>
      </c>
    </row>
    <row r="53" spans="1:15" ht="13.5" customHeight="1" hidden="1">
      <c r="A53" s="654"/>
      <c r="B53" s="659" t="s">
        <v>131</v>
      </c>
      <c r="C53" s="624"/>
      <c r="D53" s="99">
        <v>15655919</v>
      </c>
      <c r="E53" s="99">
        <v>15618001</v>
      </c>
      <c r="F53" s="99">
        <v>626470502</v>
      </c>
      <c r="G53" s="99">
        <v>626351553</v>
      </c>
      <c r="H53" s="99">
        <v>623968934</v>
      </c>
      <c r="I53" s="99">
        <v>57961</v>
      </c>
      <c r="J53" s="99">
        <v>56643</v>
      </c>
      <c r="K53" s="99">
        <f t="shared" si="22"/>
        <v>40015</v>
      </c>
      <c r="L53" s="194">
        <f t="shared" si="2"/>
        <v>100.2</v>
      </c>
      <c r="M53" s="194">
        <f t="shared" si="20"/>
        <v>101</v>
      </c>
      <c r="N53" s="194">
        <f t="shared" si="20"/>
        <v>101.1</v>
      </c>
      <c r="O53" s="195">
        <f t="shared" si="10"/>
        <v>100.2</v>
      </c>
    </row>
    <row r="54" spans="1:15" ht="13.5" customHeight="1" hidden="1">
      <c r="A54" s="657"/>
      <c r="B54" s="660" t="s">
        <v>91</v>
      </c>
      <c r="C54" s="626"/>
      <c r="D54" s="186">
        <f aca="true" t="shared" si="25" ref="D54:J54">D52+D53</f>
        <v>27945362</v>
      </c>
      <c r="E54" s="186">
        <f t="shared" si="25"/>
        <v>27511221</v>
      </c>
      <c r="F54" s="186">
        <f t="shared" si="25"/>
        <v>915658878</v>
      </c>
      <c r="G54" s="186">
        <f t="shared" si="25"/>
        <v>914891084</v>
      </c>
      <c r="H54" s="186">
        <f t="shared" si="25"/>
        <v>913154697</v>
      </c>
      <c r="I54" s="186">
        <f t="shared" si="25"/>
        <v>172807</v>
      </c>
      <c r="J54" s="186">
        <f t="shared" si="25"/>
        <v>163379</v>
      </c>
      <c r="K54" s="186">
        <f t="shared" si="22"/>
        <v>32766</v>
      </c>
      <c r="L54" s="187">
        <f t="shared" si="2"/>
        <v>100.5</v>
      </c>
      <c r="M54" s="187">
        <f t="shared" si="20"/>
        <v>102.1</v>
      </c>
      <c r="N54" s="187">
        <f t="shared" si="20"/>
        <v>102.2</v>
      </c>
      <c r="O54" s="188">
        <f t="shared" si="10"/>
        <v>100.4</v>
      </c>
    </row>
    <row r="55" spans="1:15" ht="24.75" customHeight="1" hidden="1">
      <c r="A55" s="653" t="s">
        <v>133</v>
      </c>
      <c r="B55" s="658" t="s">
        <v>130</v>
      </c>
      <c r="C55" s="622"/>
      <c r="D55" s="186">
        <v>12396035</v>
      </c>
      <c r="E55" s="186">
        <v>12009399</v>
      </c>
      <c r="F55" s="186">
        <v>284742561</v>
      </c>
      <c r="G55" s="186">
        <v>284109866</v>
      </c>
      <c r="H55" s="186">
        <v>284735274</v>
      </c>
      <c r="I55" s="186">
        <v>115108</v>
      </c>
      <c r="J55" s="186">
        <v>107194</v>
      </c>
      <c r="K55" s="186">
        <f t="shared" si="22"/>
        <v>22970</v>
      </c>
      <c r="L55" s="187">
        <f>ROUND((E55/E52)*100,1)</f>
        <v>101</v>
      </c>
      <c r="M55" s="187">
        <f t="shared" si="20"/>
        <v>98.5</v>
      </c>
      <c r="N55" s="187">
        <f t="shared" si="20"/>
        <v>98.5</v>
      </c>
      <c r="O55" s="188">
        <f t="shared" si="10"/>
        <v>100.4</v>
      </c>
    </row>
    <row r="56" spans="1:15" ht="24.75" customHeight="1" hidden="1">
      <c r="A56" s="654"/>
      <c r="B56" s="659" t="s">
        <v>131</v>
      </c>
      <c r="C56" s="624"/>
      <c r="D56" s="99">
        <v>15691901</v>
      </c>
      <c r="E56" s="99">
        <v>15652127</v>
      </c>
      <c r="F56" s="99">
        <v>610719463</v>
      </c>
      <c r="G56" s="99">
        <v>610595944</v>
      </c>
      <c r="H56" s="99">
        <v>608248109</v>
      </c>
      <c r="I56" s="99">
        <v>57981</v>
      </c>
      <c r="J56" s="99">
        <v>56610</v>
      </c>
      <c r="K56" s="99">
        <f t="shared" si="22"/>
        <v>38919</v>
      </c>
      <c r="L56" s="194">
        <f>ROUND((E56/E53)*100,1)</f>
        <v>100.2</v>
      </c>
      <c r="M56" s="194">
        <f t="shared" si="20"/>
        <v>97.5</v>
      </c>
      <c r="N56" s="194">
        <f t="shared" si="20"/>
        <v>97.5</v>
      </c>
      <c r="O56" s="195">
        <f t="shared" si="10"/>
        <v>99.9</v>
      </c>
    </row>
    <row r="57" spans="1:15" ht="24.75" customHeight="1" hidden="1">
      <c r="A57" s="657"/>
      <c r="B57" s="660" t="s">
        <v>91</v>
      </c>
      <c r="C57" s="626"/>
      <c r="D57" s="186">
        <f aca="true" t="shared" si="26" ref="D57:J57">D55+D56</f>
        <v>28087936</v>
      </c>
      <c r="E57" s="186">
        <f t="shared" si="26"/>
        <v>27661526</v>
      </c>
      <c r="F57" s="186">
        <f t="shared" si="26"/>
        <v>895462024</v>
      </c>
      <c r="G57" s="186">
        <f t="shared" si="26"/>
        <v>894705810</v>
      </c>
      <c r="H57" s="186">
        <f t="shared" si="26"/>
        <v>892983383</v>
      </c>
      <c r="I57" s="186">
        <f t="shared" si="26"/>
        <v>173089</v>
      </c>
      <c r="J57" s="186">
        <f t="shared" si="26"/>
        <v>163804</v>
      </c>
      <c r="K57" s="186">
        <f t="shared" si="22"/>
        <v>31881</v>
      </c>
      <c r="L57" s="187">
        <f t="shared" si="2"/>
        <v>100.5</v>
      </c>
      <c r="M57" s="187">
        <f t="shared" si="20"/>
        <v>97.8</v>
      </c>
      <c r="N57" s="187">
        <f t="shared" si="20"/>
        <v>97.8</v>
      </c>
      <c r="O57" s="188">
        <f t="shared" si="10"/>
        <v>100.3</v>
      </c>
    </row>
    <row r="58" spans="1:15" ht="24.75" customHeight="1" hidden="1">
      <c r="A58" s="653" t="s">
        <v>24</v>
      </c>
      <c r="B58" s="658" t="s">
        <v>130</v>
      </c>
      <c r="C58" s="622"/>
      <c r="D58" s="186">
        <v>12483526</v>
      </c>
      <c r="E58" s="186">
        <v>12109129</v>
      </c>
      <c r="F58" s="186">
        <v>296981301</v>
      </c>
      <c r="G58" s="186">
        <v>296367724</v>
      </c>
      <c r="H58" s="186">
        <v>296974117</v>
      </c>
      <c r="I58" s="186">
        <v>115261</v>
      </c>
      <c r="J58" s="186">
        <v>107587</v>
      </c>
      <c r="K58" s="186">
        <f t="shared" si="22"/>
        <v>23790</v>
      </c>
      <c r="L58" s="187">
        <f t="shared" si="2"/>
        <v>100.8</v>
      </c>
      <c r="M58" s="187">
        <f aca="true" t="shared" si="27" ref="M58:N73">ROUND((G58/G55)*100,1)</f>
        <v>104.3</v>
      </c>
      <c r="N58" s="187">
        <f t="shared" si="27"/>
        <v>104.3</v>
      </c>
      <c r="O58" s="188">
        <f t="shared" si="10"/>
        <v>100.4</v>
      </c>
    </row>
    <row r="59" spans="1:15" ht="24.75" customHeight="1" hidden="1">
      <c r="A59" s="654"/>
      <c r="B59" s="659" t="s">
        <v>131</v>
      </c>
      <c r="C59" s="624"/>
      <c r="D59" s="99">
        <v>15725497</v>
      </c>
      <c r="E59" s="99">
        <v>15686547</v>
      </c>
      <c r="F59" s="99">
        <v>619022494</v>
      </c>
      <c r="G59" s="99">
        <v>618899656</v>
      </c>
      <c r="H59" s="99">
        <v>616834874</v>
      </c>
      <c r="I59" s="99">
        <v>58102</v>
      </c>
      <c r="J59" s="99">
        <v>56751</v>
      </c>
      <c r="K59" s="99">
        <f t="shared" si="22"/>
        <v>39364</v>
      </c>
      <c r="L59" s="194">
        <f t="shared" si="2"/>
        <v>100.2</v>
      </c>
      <c r="M59" s="194">
        <f t="shared" si="27"/>
        <v>101.4</v>
      </c>
      <c r="N59" s="194">
        <f t="shared" si="27"/>
        <v>101.4</v>
      </c>
      <c r="O59" s="195">
        <f t="shared" si="10"/>
        <v>100.2</v>
      </c>
    </row>
    <row r="60" spans="1:15" ht="24.75" customHeight="1" hidden="1">
      <c r="A60" s="657"/>
      <c r="B60" s="660" t="s">
        <v>91</v>
      </c>
      <c r="C60" s="626"/>
      <c r="D60" s="186">
        <f aca="true" t="shared" si="28" ref="D60:J60">D58+D59</f>
        <v>28209023</v>
      </c>
      <c r="E60" s="186">
        <f t="shared" si="28"/>
        <v>27795676</v>
      </c>
      <c r="F60" s="186">
        <f t="shared" si="28"/>
        <v>916003795</v>
      </c>
      <c r="G60" s="186">
        <f t="shared" si="28"/>
        <v>915267380</v>
      </c>
      <c r="H60" s="186">
        <f t="shared" si="28"/>
        <v>913808991</v>
      </c>
      <c r="I60" s="186">
        <f t="shared" si="28"/>
        <v>173363</v>
      </c>
      <c r="J60" s="186">
        <f t="shared" si="28"/>
        <v>164338</v>
      </c>
      <c r="K60" s="186">
        <f t="shared" si="22"/>
        <v>32472</v>
      </c>
      <c r="L60" s="187">
        <f t="shared" si="2"/>
        <v>100.5</v>
      </c>
      <c r="M60" s="187">
        <f t="shared" si="27"/>
        <v>102.3</v>
      </c>
      <c r="N60" s="187">
        <f t="shared" si="27"/>
        <v>102.3</v>
      </c>
      <c r="O60" s="188">
        <f t="shared" si="10"/>
        <v>100.3</v>
      </c>
    </row>
    <row r="61" spans="1:15" ht="24.75" customHeight="1" hidden="1">
      <c r="A61" s="653" t="s">
        <v>25</v>
      </c>
      <c r="B61" s="658" t="s">
        <v>130</v>
      </c>
      <c r="C61" s="622"/>
      <c r="D61" s="186">
        <v>12567511</v>
      </c>
      <c r="E61" s="186">
        <v>12205714</v>
      </c>
      <c r="F61" s="186">
        <v>309748306</v>
      </c>
      <c r="G61" s="186">
        <v>309154361</v>
      </c>
      <c r="H61" s="186">
        <v>309741170</v>
      </c>
      <c r="I61" s="186">
        <v>115294</v>
      </c>
      <c r="J61" s="186">
        <v>107883</v>
      </c>
      <c r="K61" s="186">
        <f t="shared" si="22"/>
        <v>24647</v>
      </c>
      <c r="L61" s="187">
        <f t="shared" si="2"/>
        <v>100.8</v>
      </c>
      <c r="M61" s="187">
        <f t="shared" si="27"/>
        <v>104.3</v>
      </c>
      <c r="N61" s="187">
        <f t="shared" si="27"/>
        <v>104.3</v>
      </c>
      <c r="O61" s="188">
        <f t="shared" si="10"/>
        <v>100.3</v>
      </c>
    </row>
    <row r="62" spans="1:15" ht="24.75" customHeight="1" hidden="1">
      <c r="A62" s="654"/>
      <c r="B62" s="659" t="s">
        <v>131</v>
      </c>
      <c r="C62" s="624"/>
      <c r="D62" s="99">
        <v>15741835</v>
      </c>
      <c r="E62" s="99">
        <v>15703265</v>
      </c>
      <c r="F62" s="99">
        <v>627279361</v>
      </c>
      <c r="G62" s="99">
        <v>627155844</v>
      </c>
      <c r="H62" s="99">
        <v>625000309</v>
      </c>
      <c r="I62" s="99">
        <v>58176</v>
      </c>
      <c r="J62" s="99">
        <v>56834</v>
      </c>
      <c r="K62" s="99">
        <f t="shared" si="22"/>
        <v>39848</v>
      </c>
      <c r="L62" s="194">
        <f t="shared" si="2"/>
        <v>100.1</v>
      </c>
      <c r="M62" s="194">
        <f t="shared" si="27"/>
        <v>101.3</v>
      </c>
      <c r="N62" s="194">
        <f t="shared" si="27"/>
        <v>101.3</v>
      </c>
      <c r="O62" s="195">
        <f t="shared" si="10"/>
        <v>100.1</v>
      </c>
    </row>
    <row r="63" spans="1:15" ht="24.75" customHeight="1" hidden="1">
      <c r="A63" s="657"/>
      <c r="B63" s="660" t="s">
        <v>91</v>
      </c>
      <c r="C63" s="626"/>
      <c r="D63" s="186">
        <f aca="true" t="shared" si="29" ref="D63:J63">D61+D62</f>
        <v>28309346</v>
      </c>
      <c r="E63" s="186">
        <f t="shared" si="29"/>
        <v>27908979</v>
      </c>
      <c r="F63" s="186">
        <f t="shared" si="29"/>
        <v>937027667</v>
      </c>
      <c r="G63" s="186">
        <f t="shared" si="29"/>
        <v>936310205</v>
      </c>
      <c r="H63" s="186">
        <f t="shared" si="29"/>
        <v>934741479</v>
      </c>
      <c r="I63" s="186">
        <f t="shared" si="29"/>
        <v>173470</v>
      </c>
      <c r="J63" s="186">
        <f t="shared" si="29"/>
        <v>164717</v>
      </c>
      <c r="K63" s="186">
        <f t="shared" si="22"/>
        <v>33100</v>
      </c>
      <c r="L63" s="187">
        <f t="shared" si="2"/>
        <v>100.4</v>
      </c>
      <c r="M63" s="187">
        <f t="shared" si="27"/>
        <v>102.3</v>
      </c>
      <c r="N63" s="187">
        <f t="shared" si="27"/>
        <v>102.3</v>
      </c>
      <c r="O63" s="188">
        <f t="shared" si="10"/>
        <v>100.2</v>
      </c>
    </row>
    <row r="64" spans="1:15" ht="24.75" customHeight="1">
      <c r="A64" s="653" t="s">
        <v>46</v>
      </c>
      <c r="B64" s="658" t="s">
        <v>130</v>
      </c>
      <c r="C64" s="622"/>
      <c r="D64" s="186">
        <v>12680606</v>
      </c>
      <c r="E64" s="186">
        <v>12330017</v>
      </c>
      <c r="F64" s="186">
        <v>302729249</v>
      </c>
      <c r="G64" s="186">
        <v>302153984</v>
      </c>
      <c r="H64" s="186">
        <v>302513981</v>
      </c>
      <c r="I64" s="186">
        <v>115586</v>
      </c>
      <c r="J64" s="186">
        <v>108400</v>
      </c>
      <c r="K64" s="186">
        <f t="shared" si="22"/>
        <v>23873</v>
      </c>
      <c r="L64" s="187">
        <f t="shared" si="2"/>
        <v>101</v>
      </c>
      <c r="M64" s="187">
        <f t="shared" si="27"/>
        <v>97.7</v>
      </c>
      <c r="N64" s="187">
        <f t="shared" si="27"/>
        <v>97.7</v>
      </c>
      <c r="O64" s="188">
        <f t="shared" si="10"/>
        <v>100.5</v>
      </c>
    </row>
    <row r="65" spans="1:15" ht="24.75" customHeight="1">
      <c r="A65" s="654"/>
      <c r="B65" s="659" t="s">
        <v>131</v>
      </c>
      <c r="C65" s="624"/>
      <c r="D65" s="99">
        <v>15774035</v>
      </c>
      <c r="E65" s="99">
        <v>15734410</v>
      </c>
      <c r="F65" s="99">
        <v>614844806</v>
      </c>
      <c r="G65" s="99">
        <v>614718741</v>
      </c>
      <c r="H65" s="99">
        <v>612848742</v>
      </c>
      <c r="I65" s="99">
        <v>58206</v>
      </c>
      <c r="J65" s="99">
        <v>56830</v>
      </c>
      <c r="K65" s="99">
        <f t="shared" si="22"/>
        <v>38978</v>
      </c>
      <c r="L65" s="194">
        <f t="shared" si="2"/>
        <v>100.2</v>
      </c>
      <c r="M65" s="194">
        <f t="shared" si="27"/>
        <v>98</v>
      </c>
      <c r="N65" s="194">
        <f t="shared" si="27"/>
        <v>98.1</v>
      </c>
      <c r="O65" s="195">
        <f t="shared" si="10"/>
        <v>100</v>
      </c>
    </row>
    <row r="66" spans="1:15" ht="24.75" customHeight="1">
      <c r="A66" s="657"/>
      <c r="B66" s="660" t="s">
        <v>91</v>
      </c>
      <c r="C66" s="626"/>
      <c r="D66" s="186">
        <f aca="true" t="shared" si="30" ref="D66:J66">D64+D65</f>
        <v>28454641</v>
      </c>
      <c r="E66" s="186">
        <f t="shared" si="30"/>
        <v>28064427</v>
      </c>
      <c r="F66" s="186">
        <f t="shared" si="30"/>
        <v>917574055</v>
      </c>
      <c r="G66" s="186">
        <f t="shared" si="30"/>
        <v>916872725</v>
      </c>
      <c r="H66" s="186">
        <f t="shared" si="30"/>
        <v>915362723</v>
      </c>
      <c r="I66" s="186">
        <f t="shared" si="30"/>
        <v>173792</v>
      </c>
      <c r="J66" s="186">
        <f t="shared" si="30"/>
        <v>165230</v>
      </c>
      <c r="K66" s="186">
        <f t="shared" si="22"/>
        <v>32247</v>
      </c>
      <c r="L66" s="187">
        <f t="shared" si="2"/>
        <v>100.6</v>
      </c>
      <c r="M66" s="187">
        <f t="shared" si="27"/>
        <v>97.9</v>
      </c>
      <c r="N66" s="187">
        <f t="shared" si="27"/>
        <v>97.9</v>
      </c>
      <c r="O66" s="188">
        <f t="shared" si="10"/>
        <v>100.3</v>
      </c>
    </row>
    <row r="67" spans="1:15" ht="24.75" customHeight="1">
      <c r="A67" s="653" t="s">
        <v>134</v>
      </c>
      <c r="B67" s="658" t="s">
        <v>130</v>
      </c>
      <c r="C67" s="622"/>
      <c r="D67" s="186">
        <v>12781470</v>
      </c>
      <c r="E67" s="186">
        <v>12443126</v>
      </c>
      <c r="F67" s="186">
        <v>316840137</v>
      </c>
      <c r="G67" s="186">
        <v>316282413</v>
      </c>
      <c r="H67" s="186">
        <v>316822291</v>
      </c>
      <c r="I67" s="186">
        <v>115828</v>
      </c>
      <c r="J67" s="186">
        <v>108884</v>
      </c>
      <c r="K67" s="186">
        <f t="shared" si="22"/>
        <v>24789</v>
      </c>
      <c r="L67" s="187">
        <f t="shared" si="2"/>
        <v>100.9</v>
      </c>
      <c r="M67" s="187">
        <f>ROUND((G67/G64)*100,1)</f>
        <v>104.7</v>
      </c>
      <c r="N67" s="187">
        <f t="shared" si="27"/>
        <v>104.7</v>
      </c>
      <c r="O67" s="188">
        <f t="shared" si="10"/>
        <v>100.4</v>
      </c>
    </row>
    <row r="68" spans="1:15" ht="24.75" customHeight="1">
      <c r="A68" s="654"/>
      <c r="B68" s="659" t="s">
        <v>131</v>
      </c>
      <c r="C68" s="624"/>
      <c r="D68" s="99">
        <v>15797883</v>
      </c>
      <c r="E68" s="99">
        <v>15758709</v>
      </c>
      <c r="F68" s="99">
        <v>624470005</v>
      </c>
      <c r="G68" s="99">
        <v>624345261</v>
      </c>
      <c r="H68" s="99">
        <v>622266944</v>
      </c>
      <c r="I68" s="99">
        <v>58248</v>
      </c>
      <c r="J68" s="99">
        <v>56879</v>
      </c>
      <c r="K68" s="99">
        <f t="shared" si="22"/>
        <v>39529</v>
      </c>
      <c r="L68" s="194">
        <f t="shared" si="2"/>
        <v>100.2</v>
      </c>
      <c r="M68" s="194">
        <f>ROUND((G68/G65)*100,1)</f>
        <v>101.6</v>
      </c>
      <c r="N68" s="194">
        <f t="shared" si="27"/>
        <v>101.5</v>
      </c>
      <c r="O68" s="195">
        <f t="shared" si="10"/>
        <v>100.1</v>
      </c>
    </row>
    <row r="69" spans="1:15" ht="24.75" customHeight="1">
      <c r="A69" s="657"/>
      <c r="B69" s="660" t="s">
        <v>91</v>
      </c>
      <c r="C69" s="626"/>
      <c r="D69" s="186">
        <f aca="true" t="shared" si="31" ref="D69:J69">D67+D68</f>
        <v>28579353</v>
      </c>
      <c r="E69" s="186">
        <f t="shared" si="31"/>
        <v>28201835</v>
      </c>
      <c r="F69" s="186">
        <f t="shared" si="31"/>
        <v>941310142</v>
      </c>
      <c r="G69" s="186">
        <f t="shared" si="31"/>
        <v>940627674</v>
      </c>
      <c r="H69" s="186">
        <f t="shared" si="31"/>
        <v>939089235</v>
      </c>
      <c r="I69" s="186">
        <f t="shared" si="31"/>
        <v>174076</v>
      </c>
      <c r="J69" s="186">
        <f t="shared" si="31"/>
        <v>165763</v>
      </c>
      <c r="K69" s="186">
        <f t="shared" si="22"/>
        <v>32937</v>
      </c>
      <c r="L69" s="187">
        <f t="shared" si="2"/>
        <v>100.5</v>
      </c>
      <c r="M69" s="187">
        <f t="shared" si="27"/>
        <v>102.6</v>
      </c>
      <c r="N69" s="187">
        <f t="shared" si="27"/>
        <v>102.6</v>
      </c>
      <c r="O69" s="188">
        <f t="shared" si="10"/>
        <v>100.3</v>
      </c>
    </row>
    <row r="70" spans="1:15" ht="24.75" customHeight="1">
      <c r="A70" s="653" t="s">
        <v>135</v>
      </c>
      <c r="B70" s="658" t="s">
        <v>130</v>
      </c>
      <c r="C70" s="622"/>
      <c r="D70" s="186">
        <v>12849689</v>
      </c>
      <c r="E70" s="186">
        <v>12525079</v>
      </c>
      <c r="F70" s="186">
        <v>331081148</v>
      </c>
      <c r="G70" s="186">
        <v>330546154</v>
      </c>
      <c r="H70" s="186">
        <v>331039994</v>
      </c>
      <c r="I70" s="186">
        <v>115869</v>
      </c>
      <c r="J70" s="186">
        <v>109206</v>
      </c>
      <c r="K70" s="186">
        <f t="shared" si="22"/>
        <v>25766</v>
      </c>
      <c r="L70" s="187">
        <f t="shared" si="2"/>
        <v>100.7</v>
      </c>
      <c r="M70" s="187">
        <f t="shared" si="27"/>
        <v>104.5</v>
      </c>
      <c r="N70" s="187">
        <f t="shared" si="27"/>
        <v>104.5</v>
      </c>
      <c r="O70" s="188">
        <f t="shared" si="10"/>
        <v>100.3</v>
      </c>
    </row>
    <row r="71" spans="1:15" ht="24.75" customHeight="1">
      <c r="A71" s="654"/>
      <c r="B71" s="659" t="s">
        <v>131</v>
      </c>
      <c r="C71" s="624"/>
      <c r="D71" s="99">
        <v>15819606</v>
      </c>
      <c r="E71" s="99">
        <v>15777991</v>
      </c>
      <c r="F71" s="99">
        <v>634549008</v>
      </c>
      <c r="G71" s="99">
        <v>634424455</v>
      </c>
      <c r="H71" s="99">
        <v>632340486</v>
      </c>
      <c r="I71" s="99">
        <v>58254</v>
      </c>
      <c r="J71" s="99">
        <v>56882</v>
      </c>
      <c r="K71" s="99">
        <f t="shared" si="22"/>
        <v>40112</v>
      </c>
      <c r="L71" s="194">
        <f t="shared" si="2"/>
        <v>100.1</v>
      </c>
      <c r="M71" s="194">
        <f t="shared" si="27"/>
        <v>101.6</v>
      </c>
      <c r="N71" s="194">
        <f t="shared" si="27"/>
        <v>101.6</v>
      </c>
      <c r="O71" s="195">
        <f t="shared" si="10"/>
        <v>100</v>
      </c>
    </row>
    <row r="72" spans="1:15" ht="24.75" customHeight="1">
      <c r="A72" s="657"/>
      <c r="B72" s="660" t="s">
        <v>91</v>
      </c>
      <c r="C72" s="626"/>
      <c r="D72" s="186">
        <f aca="true" t="shared" si="32" ref="D72:J72">D70+D71</f>
        <v>28669295</v>
      </c>
      <c r="E72" s="186">
        <f t="shared" si="32"/>
        <v>28303070</v>
      </c>
      <c r="F72" s="186">
        <f t="shared" si="32"/>
        <v>965630156</v>
      </c>
      <c r="G72" s="186">
        <f t="shared" si="32"/>
        <v>964970609</v>
      </c>
      <c r="H72" s="186">
        <f t="shared" si="32"/>
        <v>963380480</v>
      </c>
      <c r="I72" s="186">
        <f t="shared" si="32"/>
        <v>174123</v>
      </c>
      <c r="J72" s="186">
        <f t="shared" si="32"/>
        <v>166088</v>
      </c>
      <c r="K72" s="186">
        <f t="shared" si="22"/>
        <v>33682</v>
      </c>
      <c r="L72" s="187">
        <f t="shared" si="2"/>
        <v>100.4</v>
      </c>
      <c r="M72" s="187">
        <f t="shared" si="27"/>
        <v>102.6</v>
      </c>
      <c r="N72" s="192">
        <f t="shared" si="27"/>
        <v>102.6</v>
      </c>
      <c r="O72" s="193">
        <f t="shared" si="10"/>
        <v>100.2</v>
      </c>
    </row>
    <row r="73" spans="1:15" ht="24.75" customHeight="1">
      <c r="A73" s="653" t="s">
        <v>136</v>
      </c>
      <c r="B73" s="658" t="s">
        <v>130</v>
      </c>
      <c r="C73" s="622"/>
      <c r="D73" s="186">
        <v>12955897</v>
      </c>
      <c r="E73" s="186">
        <v>12604423</v>
      </c>
      <c r="F73" s="186">
        <v>311125573</v>
      </c>
      <c r="G73" s="186">
        <v>309713903</v>
      </c>
      <c r="H73" s="186">
        <v>310770130</v>
      </c>
      <c r="I73" s="186">
        <v>116219</v>
      </c>
      <c r="J73" s="186">
        <v>109476</v>
      </c>
      <c r="K73" s="186">
        <f t="shared" si="22"/>
        <v>24014</v>
      </c>
      <c r="L73" s="187">
        <f>ROUND((E73/E70)*100,1)</f>
        <v>100.6</v>
      </c>
      <c r="M73" s="187">
        <f t="shared" si="27"/>
        <v>93.7</v>
      </c>
      <c r="N73" s="187">
        <f t="shared" si="27"/>
        <v>93.9</v>
      </c>
      <c r="O73" s="188">
        <f>ROUND((J73/J70)*100,1)</f>
        <v>100.2</v>
      </c>
    </row>
    <row r="74" spans="1:15" ht="24.75" customHeight="1">
      <c r="A74" s="654"/>
      <c r="B74" s="659" t="s">
        <v>131</v>
      </c>
      <c r="C74" s="624"/>
      <c r="D74" s="99">
        <v>15853905</v>
      </c>
      <c r="E74" s="99">
        <v>15291141</v>
      </c>
      <c r="F74" s="99">
        <v>623106564</v>
      </c>
      <c r="G74" s="99">
        <v>602886032</v>
      </c>
      <c r="H74" s="99">
        <v>567884516</v>
      </c>
      <c r="I74" s="99">
        <v>58554</v>
      </c>
      <c r="J74" s="99">
        <v>56202</v>
      </c>
      <c r="K74" s="99">
        <f t="shared" si="22"/>
        <v>39303</v>
      </c>
      <c r="L74" s="194">
        <f>ROUND((E74/E71)*100,1)</f>
        <v>96.9</v>
      </c>
      <c r="M74" s="194">
        <f>ROUND((G74/G71)*100,1)</f>
        <v>95</v>
      </c>
      <c r="N74" s="194">
        <f>ROUND((H74/H71)*100,1)</f>
        <v>89.8</v>
      </c>
      <c r="O74" s="195">
        <f>ROUND((J74/J71)*100,1)</f>
        <v>98.8</v>
      </c>
    </row>
    <row r="75" spans="1:15" ht="24.75" customHeight="1">
      <c r="A75" s="657"/>
      <c r="B75" s="660" t="s">
        <v>91</v>
      </c>
      <c r="C75" s="626"/>
      <c r="D75" s="186">
        <f aca="true" t="shared" si="33" ref="D75:J75">D73+D74</f>
        <v>28809802</v>
      </c>
      <c r="E75" s="186">
        <f t="shared" si="33"/>
        <v>27895564</v>
      </c>
      <c r="F75" s="186">
        <f t="shared" si="33"/>
        <v>934232137</v>
      </c>
      <c r="G75" s="186">
        <f t="shared" si="33"/>
        <v>912599935</v>
      </c>
      <c r="H75" s="186">
        <f t="shared" si="33"/>
        <v>878654646</v>
      </c>
      <c r="I75" s="186">
        <f t="shared" si="33"/>
        <v>174773</v>
      </c>
      <c r="J75" s="186">
        <f t="shared" si="33"/>
        <v>165678</v>
      </c>
      <c r="K75" s="186">
        <f t="shared" si="22"/>
        <v>32428</v>
      </c>
      <c r="L75" s="187">
        <f>ROUND((E75/E72)*100,1)</f>
        <v>98.6</v>
      </c>
      <c r="M75" s="187">
        <f>ROUND((G75/G72)*100,1)</f>
        <v>94.6</v>
      </c>
      <c r="N75" s="192">
        <f>ROUND((H75/H72)*100,1)</f>
        <v>91.2</v>
      </c>
      <c r="O75" s="193">
        <f>ROUND((J75/J72)*100,1)</f>
        <v>99.8</v>
      </c>
    </row>
    <row r="76" spans="1:15" ht="24.75" customHeight="1">
      <c r="A76" s="653" t="s">
        <v>137</v>
      </c>
      <c r="B76" s="196"/>
      <c r="C76" s="196" t="s">
        <v>138</v>
      </c>
      <c r="D76" s="186">
        <v>9796634</v>
      </c>
      <c r="E76" s="186">
        <v>9605693</v>
      </c>
      <c r="F76" s="186">
        <v>285366972</v>
      </c>
      <c r="G76" s="186">
        <v>285043996</v>
      </c>
      <c r="H76" s="186">
        <v>285361659</v>
      </c>
      <c r="I76" s="186">
        <v>78209</v>
      </c>
      <c r="J76" s="186">
        <v>75069</v>
      </c>
      <c r="K76" s="186">
        <f t="shared" si="22"/>
        <v>29129</v>
      </c>
      <c r="L76" s="187">
        <f>ROUND((E76/9501359)*100,1)</f>
        <v>101.1</v>
      </c>
      <c r="M76" s="187">
        <f>ROUND((G76/272911158)*100,1)</f>
        <v>104.4</v>
      </c>
      <c r="N76" s="194">
        <f>ROUND((H76/273104776)*100,1)</f>
        <v>104.5</v>
      </c>
      <c r="O76" s="195">
        <f>ROUND((J76/74294)*100,1)</f>
        <v>101</v>
      </c>
    </row>
    <row r="77" spans="1:15" ht="24.75" customHeight="1">
      <c r="A77" s="654"/>
      <c r="B77" s="180"/>
      <c r="C77" s="197" t="s">
        <v>139</v>
      </c>
      <c r="D77" s="99">
        <v>549028</v>
      </c>
      <c r="E77" s="99">
        <v>548660</v>
      </c>
      <c r="F77" s="99">
        <v>21805080</v>
      </c>
      <c r="G77" s="99">
        <v>21804368</v>
      </c>
      <c r="H77" s="99">
        <v>21805080</v>
      </c>
      <c r="I77" s="99">
        <v>2186</v>
      </c>
      <c r="J77" s="99">
        <v>2181</v>
      </c>
      <c r="K77" s="101">
        <f t="shared" si="22"/>
        <v>39716</v>
      </c>
      <c r="L77" s="194">
        <f>ROUND((E77/520626)*100,1)</f>
        <v>105.4</v>
      </c>
      <c r="M77" s="194">
        <f>ROUND((G77/19777800)*100,1)</f>
        <v>110.2</v>
      </c>
      <c r="N77" s="194">
        <f>ROUND((H77/19672053)*100,1)</f>
        <v>110.8</v>
      </c>
      <c r="O77" s="195">
        <f>ROUND((J77/2125)*100,1)</f>
        <v>102.6</v>
      </c>
    </row>
    <row r="78" spans="1:15" ht="24.75" customHeight="1">
      <c r="A78" s="654"/>
      <c r="B78" s="180" t="s">
        <v>140</v>
      </c>
      <c r="C78" s="197" t="s">
        <v>141</v>
      </c>
      <c r="D78" s="99">
        <v>1321139</v>
      </c>
      <c r="E78" s="99">
        <v>1311505</v>
      </c>
      <c r="F78" s="99">
        <v>7711137</v>
      </c>
      <c r="G78" s="99">
        <v>7694093</v>
      </c>
      <c r="H78" s="99">
        <v>7711083</v>
      </c>
      <c r="I78" s="99">
        <v>13313</v>
      </c>
      <c r="J78" s="99">
        <v>13170</v>
      </c>
      <c r="K78" s="101">
        <f t="shared" si="22"/>
        <v>5837</v>
      </c>
      <c r="L78" s="194">
        <f>ROUND((E78/1315996)*100,1)</f>
        <v>99.7</v>
      </c>
      <c r="M78" s="194">
        <f>ROUND((G78/7610574)*100,1)</f>
        <v>101.1</v>
      </c>
      <c r="N78" s="194">
        <f>ROUND((H78/7536120)*100,1)</f>
        <v>102.3</v>
      </c>
      <c r="O78" s="195">
        <f>ROUND((J78/13211)*100,1)</f>
        <v>99.7</v>
      </c>
    </row>
    <row r="79" spans="1:15" ht="24.75" customHeight="1">
      <c r="A79" s="654"/>
      <c r="B79" s="180"/>
      <c r="C79" s="197" t="s">
        <v>142</v>
      </c>
      <c r="D79" s="99">
        <v>16641</v>
      </c>
      <c r="E79" s="99">
        <v>16641</v>
      </c>
      <c r="F79" s="99">
        <v>48230</v>
      </c>
      <c r="G79" s="99">
        <v>48230</v>
      </c>
      <c r="H79" s="99">
        <v>48104</v>
      </c>
      <c r="I79" s="99">
        <v>328</v>
      </c>
      <c r="J79" s="99">
        <v>328</v>
      </c>
      <c r="K79" s="101">
        <f t="shared" si="22"/>
        <v>2898</v>
      </c>
      <c r="L79" s="194">
        <f>ROUND((E79/16556)*100,1)</f>
        <v>100.5</v>
      </c>
      <c r="M79" s="194">
        <f>ROUND((G79/42439)*100,1)</f>
        <v>113.6</v>
      </c>
      <c r="N79" s="194">
        <f>ROUND((H79/40740)*100,1)</f>
        <v>118.1</v>
      </c>
      <c r="O79" s="195">
        <f>ROUND((J79/327)*100,1)</f>
        <v>100.3</v>
      </c>
    </row>
    <row r="80" spans="1:15" ht="24.75" customHeight="1">
      <c r="A80" s="654"/>
      <c r="B80" s="180"/>
      <c r="C80" s="197" t="s">
        <v>143</v>
      </c>
      <c r="D80" s="99">
        <v>645247</v>
      </c>
      <c r="E80" s="99">
        <v>632602</v>
      </c>
      <c r="F80" s="99">
        <v>6302469</v>
      </c>
      <c r="G80" s="99">
        <v>6278398</v>
      </c>
      <c r="H80" s="99">
        <v>6256428</v>
      </c>
      <c r="I80" s="99">
        <v>6613</v>
      </c>
      <c r="J80" s="99">
        <v>6388</v>
      </c>
      <c r="K80" s="101">
        <f t="shared" si="22"/>
        <v>9768</v>
      </c>
      <c r="L80" s="194">
        <f>ROUND((E80/610947)*100,1)</f>
        <v>103.5</v>
      </c>
      <c r="M80" s="194">
        <f>ROUND((G80/5324162)*100,1)</f>
        <v>117.9</v>
      </c>
      <c r="N80" s="194">
        <f>ROUND((H80/5038182)*100,1)</f>
        <v>124.2</v>
      </c>
      <c r="O80" s="195">
        <f>ROUND((J80/6245)*100,1)</f>
        <v>102.3</v>
      </c>
    </row>
    <row r="81" spans="1:15" ht="24.75" customHeight="1">
      <c r="A81" s="654"/>
      <c r="B81" s="180" t="s">
        <v>144</v>
      </c>
      <c r="C81" s="197" t="s">
        <v>145</v>
      </c>
      <c r="D81" s="99">
        <v>159398</v>
      </c>
      <c r="E81" s="99">
        <v>144327</v>
      </c>
      <c r="F81" s="99">
        <v>1135585</v>
      </c>
      <c r="G81" s="99">
        <v>1120906</v>
      </c>
      <c r="H81" s="99">
        <v>1135501</v>
      </c>
      <c r="I81" s="99">
        <v>388</v>
      </c>
      <c r="J81" s="99">
        <v>128</v>
      </c>
      <c r="K81" s="101">
        <f t="shared" si="22"/>
        <v>7124</v>
      </c>
      <c r="L81" s="194">
        <f>ROUND((E81/140963)*100,1)</f>
        <v>102.4</v>
      </c>
      <c r="M81" s="194">
        <f>ROUND((G81/984100)*100,1)</f>
        <v>113.9</v>
      </c>
      <c r="N81" s="194">
        <f>ROUND((H81/971213)*100,1)</f>
        <v>116.9</v>
      </c>
      <c r="O81" s="195">
        <f>ROUND((J81/103)*100,1)</f>
        <v>124.3</v>
      </c>
    </row>
    <row r="82" spans="1:15" ht="24.75" customHeight="1">
      <c r="A82" s="654"/>
      <c r="B82" s="180"/>
      <c r="C82" s="198" t="s">
        <v>81</v>
      </c>
      <c r="D82" s="189">
        <v>569359</v>
      </c>
      <c r="E82" s="189">
        <v>495625</v>
      </c>
      <c r="F82" s="189">
        <v>3335118</v>
      </c>
      <c r="G82" s="189">
        <v>3215029</v>
      </c>
      <c r="H82" s="189">
        <v>3333772</v>
      </c>
      <c r="I82" s="189">
        <v>15544</v>
      </c>
      <c r="J82" s="189">
        <v>13077</v>
      </c>
      <c r="K82" s="189">
        <f t="shared" si="22"/>
        <v>5858</v>
      </c>
      <c r="L82" s="194">
        <f>ROUND((E82/497976)*100,1)</f>
        <v>99.5</v>
      </c>
      <c r="M82" s="194">
        <f>ROUND((G82/3063670)*100,1)</f>
        <v>104.9</v>
      </c>
      <c r="N82" s="190">
        <f>ROUND((H82/4407046)*100,1)</f>
        <v>75.6</v>
      </c>
      <c r="O82" s="191">
        <f>ROUND((J82/13171)*100,1)</f>
        <v>99.3</v>
      </c>
    </row>
    <row r="83" spans="1:15" ht="24.75" customHeight="1">
      <c r="A83" s="654"/>
      <c r="B83" s="183"/>
      <c r="C83" s="199" t="s">
        <v>3</v>
      </c>
      <c r="D83" s="107">
        <f>SUM(D76:D82)</f>
        <v>13057446</v>
      </c>
      <c r="E83" s="107">
        <f aca="true" t="shared" si="34" ref="E83:J83">SUM(E76:E82)</f>
        <v>12755053</v>
      </c>
      <c r="F83" s="107">
        <f t="shared" si="34"/>
        <v>325704591</v>
      </c>
      <c r="G83" s="107">
        <f t="shared" si="34"/>
        <v>325205020</v>
      </c>
      <c r="H83" s="107">
        <f t="shared" si="34"/>
        <v>325651627</v>
      </c>
      <c r="I83" s="107">
        <f t="shared" si="34"/>
        <v>116581</v>
      </c>
      <c r="J83" s="107">
        <f t="shared" si="34"/>
        <v>110341</v>
      </c>
      <c r="K83" s="107">
        <f t="shared" si="22"/>
        <v>24944</v>
      </c>
      <c r="L83" s="200">
        <f>ROUND((E83/E73)*100,1)</f>
        <v>101.2</v>
      </c>
      <c r="M83" s="200">
        <f>ROUND((G83/G73)*100,1)</f>
        <v>105</v>
      </c>
      <c r="N83" s="200">
        <f>ROUND((H83/H73)*100,1)</f>
        <v>104.8</v>
      </c>
      <c r="O83" s="201">
        <f>ROUND((J83/J73)*100,1)</f>
        <v>100.8</v>
      </c>
    </row>
    <row r="84" spans="1:15" ht="24.75" customHeight="1">
      <c r="A84" s="654"/>
      <c r="B84" s="202"/>
      <c r="C84" s="203" t="s">
        <v>146</v>
      </c>
      <c r="D84" s="186">
        <v>3496892</v>
      </c>
      <c r="E84" s="186">
        <v>3496080</v>
      </c>
      <c r="F84" s="186">
        <v>182307240</v>
      </c>
      <c r="G84" s="186">
        <v>182303627</v>
      </c>
      <c r="H84" s="186">
        <v>180275439</v>
      </c>
      <c r="I84" s="186">
        <v>6055</v>
      </c>
      <c r="J84" s="186">
        <v>6025</v>
      </c>
      <c r="K84" s="186">
        <f t="shared" si="22"/>
        <v>52134</v>
      </c>
      <c r="L84" s="194">
        <f>ROUND((E84/3307943)*100,1)</f>
        <v>105.7</v>
      </c>
      <c r="M84" s="194">
        <f>ROUND((G84/171704448)*100,1)</f>
        <v>106.2</v>
      </c>
      <c r="N84" s="187">
        <f>ROUND((H84/163718399)*100,1)</f>
        <v>110.1</v>
      </c>
      <c r="O84" s="188">
        <f>ROUND((J84/5717)*100,1)</f>
        <v>105.4</v>
      </c>
    </row>
    <row r="85" spans="1:15" ht="24.75" customHeight="1">
      <c r="A85" s="654"/>
      <c r="B85" s="180" t="s">
        <v>147</v>
      </c>
      <c r="C85" s="204" t="s">
        <v>148</v>
      </c>
      <c r="D85" s="99">
        <v>8172285</v>
      </c>
      <c r="E85" s="99">
        <v>8169826</v>
      </c>
      <c r="F85" s="99">
        <v>343883508</v>
      </c>
      <c r="G85" s="99">
        <v>343874210</v>
      </c>
      <c r="H85" s="99">
        <v>343876218</v>
      </c>
      <c r="I85" s="99">
        <v>31894</v>
      </c>
      <c r="J85" s="99">
        <v>31794</v>
      </c>
      <c r="K85" s="99">
        <f t="shared" si="22"/>
        <v>42079</v>
      </c>
      <c r="L85" s="194">
        <f>ROUND((E85/8015923)*100,1)</f>
        <v>101.9</v>
      </c>
      <c r="M85" s="194">
        <f>ROUND((G85/330768857)*100,1)</f>
        <v>104</v>
      </c>
      <c r="N85" s="194">
        <f>ROUND((H85/307275133)*100,1)</f>
        <v>111.9</v>
      </c>
      <c r="O85" s="195">
        <f>ROUND((J85/31458)*100,1)</f>
        <v>101.1</v>
      </c>
    </row>
    <row r="86" spans="1:15" ht="24.75" customHeight="1">
      <c r="A86" s="654"/>
      <c r="B86" s="180" t="s">
        <v>149</v>
      </c>
      <c r="C86" s="204" t="s">
        <v>150</v>
      </c>
      <c r="D86" s="99">
        <v>638441</v>
      </c>
      <c r="E86" s="99">
        <v>638441</v>
      </c>
      <c r="F86" s="99">
        <v>44532727</v>
      </c>
      <c r="G86" s="99">
        <v>44532727</v>
      </c>
      <c r="H86" s="99">
        <v>44532727</v>
      </c>
      <c r="I86" s="99">
        <v>343</v>
      </c>
      <c r="J86" s="99">
        <v>343</v>
      </c>
      <c r="K86" s="99">
        <f t="shared" si="22"/>
        <v>69752</v>
      </c>
      <c r="L86" s="194">
        <f>ROUND((E86/582024)*100,1)</f>
        <v>109.7</v>
      </c>
      <c r="M86" s="194">
        <f>ROUND((G86/39885580)*100,1)</f>
        <v>111.7</v>
      </c>
      <c r="N86" s="194">
        <f>ROUND((H86/39608255)*100,1)</f>
        <v>112.4</v>
      </c>
      <c r="O86" s="195">
        <f>ROUND((J86/319)*100,1)</f>
        <v>107.5</v>
      </c>
    </row>
    <row r="87" spans="1:15" ht="24.75" customHeight="1">
      <c r="A87" s="654"/>
      <c r="B87" s="180" t="s">
        <v>144</v>
      </c>
      <c r="C87" s="204" t="s">
        <v>151</v>
      </c>
      <c r="D87" s="99">
        <v>2214797</v>
      </c>
      <c r="E87" s="99">
        <v>2212065</v>
      </c>
      <c r="F87" s="99">
        <v>42398010</v>
      </c>
      <c r="G87" s="99">
        <v>42390573</v>
      </c>
      <c r="H87" s="99">
        <v>42312218</v>
      </c>
      <c r="I87" s="99">
        <v>4171</v>
      </c>
      <c r="J87" s="99">
        <v>4110</v>
      </c>
      <c r="K87" s="99">
        <f t="shared" si="22"/>
        <v>19143</v>
      </c>
      <c r="L87" s="194">
        <f>ROUND((E87/2083981)*100,1)</f>
        <v>106.1</v>
      </c>
      <c r="M87" s="194">
        <f>ROUND((G87/39813204)*100,1)</f>
        <v>106.5</v>
      </c>
      <c r="N87" s="194">
        <f>ROUND((H87/37095450)*100,1)</f>
        <v>114.1</v>
      </c>
      <c r="O87" s="195">
        <f>ROUND((J87/4057)*100,1)</f>
        <v>101.3</v>
      </c>
    </row>
    <row r="88" spans="1:15" ht="24.75" customHeight="1">
      <c r="A88" s="654"/>
      <c r="B88" s="180"/>
      <c r="C88" s="205" t="s">
        <v>81</v>
      </c>
      <c r="D88" s="189">
        <v>1376966</v>
      </c>
      <c r="E88" s="189">
        <v>1344017</v>
      </c>
      <c r="F88" s="189">
        <v>21677030</v>
      </c>
      <c r="G88" s="189">
        <v>21573884</v>
      </c>
      <c r="H88" s="189">
        <v>21519242</v>
      </c>
      <c r="I88" s="189">
        <v>16251</v>
      </c>
      <c r="J88" s="189">
        <v>15071</v>
      </c>
      <c r="K88" s="189">
        <f t="shared" si="22"/>
        <v>15743</v>
      </c>
      <c r="L88" s="194">
        <f>ROUND((E88/1301270)*100,1)</f>
        <v>103.3</v>
      </c>
      <c r="M88" s="194">
        <f>ROUND((G88/20713943)*100,1)</f>
        <v>104.2</v>
      </c>
      <c r="N88" s="190">
        <f>ROUND((H88/20187279)*100,1)</f>
        <v>106.6</v>
      </c>
      <c r="O88" s="191">
        <f>ROUND((J88/14651)*100,1)</f>
        <v>102.9</v>
      </c>
    </row>
    <row r="89" spans="1:15" ht="24.75" customHeight="1">
      <c r="A89" s="654"/>
      <c r="B89" s="180"/>
      <c r="C89" s="202" t="s">
        <v>3</v>
      </c>
      <c r="D89" s="107">
        <f aca="true" t="shared" si="35" ref="D89:J89">SUM(D84:D88)</f>
        <v>15899381</v>
      </c>
      <c r="E89" s="107">
        <f t="shared" si="35"/>
        <v>15860429</v>
      </c>
      <c r="F89" s="107">
        <f t="shared" si="35"/>
        <v>634798515</v>
      </c>
      <c r="G89" s="107">
        <f t="shared" si="35"/>
        <v>634675021</v>
      </c>
      <c r="H89" s="107">
        <f t="shared" si="35"/>
        <v>632515844</v>
      </c>
      <c r="I89" s="107">
        <f t="shared" si="35"/>
        <v>58714</v>
      </c>
      <c r="J89" s="107">
        <f t="shared" si="35"/>
        <v>57343</v>
      </c>
      <c r="K89" s="107">
        <f t="shared" si="22"/>
        <v>39926</v>
      </c>
      <c r="L89" s="192">
        <f>ROUND((E89/E74)*100,1)</f>
        <v>103.7</v>
      </c>
      <c r="M89" s="192">
        <f>ROUND((G89/G74)*100,1)</f>
        <v>105.3</v>
      </c>
      <c r="N89" s="192">
        <f>ROUND((H89/H74)*100,1)</f>
        <v>111.4</v>
      </c>
      <c r="O89" s="193">
        <f>ROUND((J89/J74)*100,1)</f>
        <v>102</v>
      </c>
    </row>
    <row r="90" spans="1:15" ht="24.75" customHeight="1" thickBot="1">
      <c r="A90" s="655"/>
      <c r="B90" s="656" t="s">
        <v>56</v>
      </c>
      <c r="C90" s="628"/>
      <c r="D90" s="206">
        <f>D83+D89</f>
        <v>28956827</v>
      </c>
      <c r="E90" s="206">
        <f aca="true" t="shared" si="36" ref="E90:J90">E83+E89</f>
        <v>28615482</v>
      </c>
      <c r="F90" s="206">
        <f t="shared" si="36"/>
        <v>960503106</v>
      </c>
      <c r="G90" s="206">
        <f t="shared" si="36"/>
        <v>959880041</v>
      </c>
      <c r="H90" s="206">
        <f t="shared" si="36"/>
        <v>958167471</v>
      </c>
      <c r="I90" s="206">
        <f t="shared" si="36"/>
        <v>175295</v>
      </c>
      <c r="J90" s="206">
        <f t="shared" si="36"/>
        <v>167684</v>
      </c>
      <c r="K90" s="206">
        <f>ROUND((F90*1000)/D90,0)</f>
        <v>33170</v>
      </c>
      <c r="L90" s="207">
        <f>ROUND((E90/E75)*100,1)</f>
        <v>102.6</v>
      </c>
      <c r="M90" s="207">
        <f>ROUND((G90/G75)*100,1)</f>
        <v>105.2</v>
      </c>
      <c r="N90" s="207">
        <f>ROUND((H90/H75)*100,1)</f>
        <v>109</v>
      </c>
      <c r="O90" s="208">
        <f>ROUND((J90/J75)*100,1)</f>
        <v>101.2</v>
      </c>
    </row>
    <row r="91" ht="17.25" customHeight="1">
      <c r="A91" s="83" t="s">
        <v>152</v>
      </c>
    </row>
    <row r="92" ht="17.25" customHeight="1">
      <c r="I92" s="209"/>
    </row>
  </sheetData>
  <sheetProtection/>
  <mergeCells count="108">
    <mergeCell ref="D4:E4"/>
    <mergeCell ref="F4:G4"/>
    <mergeCell ref="I4:J4"/>
    <mergeCell ref="L4:O4"/>
    <mergeCell ref="D5:D6"/>
    <mergeCell ref="E5:E6"/>
    <mergeCell ref="F5:F6"/>
    <mergeCell ref="G5:G6"/>
    <mergeCell ref="I5:I6"/>
    <mergeCell ref="J5:J6"/>
    <mergeCell ref="K5:K6"/>
    <mergeCell ref="N5:N6"/>
    <mergeCell ref="A7:A9"/>
    <mergeCell ref="B7:C7"/>
    <mergeCell ref="B8:C8"/>
    <mergeCell ref="B9:C9"/>
    <mergeCell ref="A4:A6"/>
    <mergeCell ref="B4:C6"/>
    <mergeCell ref="A10:A12"/>
    <mergeCell ref="B10:C10"/>
    <mergeCell ref="B11:C11"/>
    <mergeCell ref="B12:C12"/>
    <mergeCell ref="A13:A15"/>
    <mergeCell ref="B13:C13"/>
    <mergeCell ref="B14:C14"/>
    <mergeCell ref="B15:C15"/>
    <mergeCell ref="A16:A18"/>
    <mergeCell ref="B16:C16"/>
    <mergeCell ref="B17:C17"/>
    <mergeCell ref="B18:C18"/>
    <mergeCell ref="A19:A21"/>
    <mergeCell ref="B19:C19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A39"/>
    <mergeCell ref="B37:C37"/>
    <mergeCell ref="B38:C38"/>
    <mergeCell ref="B39:C39"/>
    <mergeCell ref="A40:A42"/>
    <mergeCell ref="B40:C40"/>
    <mergeCell ref="B41:C41"/>
    <mergeCell ref="B42:C42"/>
    <mergeCell ref="A43:A45"/>
    <mergeCell ref="B43:C43"/>
    <mergeCell ref="B44:C44"/>
    <mergeCell ref="B45:C45"/>
    <mergeCell ref="A46:A48"/>
    <mergeCell ref="B46:C46"/>
    <mergeCell ref="B47:C47"/>
    <mergeCell ref="B48:C48"/>
    <mergeCell ref="A49:A51"/>
    <mergeCell ref="B49:C49"/>
    <mergeCell ref="B50:C50"/>
    <mergeCell ref="B51:C51"/>
    <mergeCell ref="A52:A54"/>
    <mergeCell ref="B52:C52"/>
    <mergeCell ref="B53:C53"/>
    <mergeCell ref="B54:C54"/>
    <mergeCell ref="A55:A57"/>
    <mergeCell ref="B55:C55"/>
    <mergeCell ref="B56:C56"/>
    <mergeCell ref="B57:C57"/>
    <mergeCell ref="A58:A60"/>
    <mergeCell ref="B58:C58"/>
    <mergeCell ref="B59:C59"/>
    <mergeCell ref="B60:C60"/>
    <mergeCell ref="A61:A63"/>
    <mergeCell ref="B61:C61"/>
    <mergeCell ref="B62:C62"/>
    <mergeCell ref="B63:C63"/>
    <mergeCell ref="A64:A66"/>
    <mergeCell ref="B64:C64"/>
    <mergeCell ref="B65:C65"/>
    <mergeCell ref="B66:C66"/>
    <mergeCell ref="A67:A69"/>
    <mergeCell ref="B67:C67"/>
    <mergeCell ref="B68:C68"/>
    <mergeCell ref="B69:C69"/>
    <mergeCell ref="A76:A90"/>
    <mergeCell ref="B90:C90"/>
    <mergeCell ref="A70:A72"/>
    <mergeCell ref="B70:C70"/>
    <mergeCell ref="B71:C71"/>
    <mergeCell ref="B72:C72"/>
    <mergeCell ref="A73:A75"/>
    <mergeCell ref="B73:C73"/>
    <mergeCell ref="B74:C74"/>
    <mergeCell ref="B75:C75"/>
  </mergeCells>
  <printOptions horizontalCentered="1"/>
  <pageMargins left="0.5905511811023623" right="0.5905511811023623" top="0.3937007874015748" bottom="0.1968503937007874" header="0.5905511811023623" footer="0.1968503937007874"/>
  <pageSetup fitToWidth="0" horizontalDpi="300" verticalDpi="300" orientation="portrait" paperSize="9" scale="93" r:id="rId1"/>
  <colBreaks count="1" manualBreakCount="1">
    <brk id="8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3.50390625" defaultRowHeight="18.75" customHeight="1"/>
  <cols>
    <col min="1" max="1" width="17.625" style="212" customWidth="1"/>
    <col min="2" max="4" width="13.50390625" style="212" customWidth="1"/>
    <col min="5" max="6" width="11.625" style="212" customWidth="1"/>
    <col min="7" max="16384" width="13.50390625" style="212" customWidth="1"/>
  </cols>
  <sheetData>
    <row r="1" spans="1:6" ht="27" customHeight="1">
      <c r="A1" s="210" t="s">
        <v>153</v>
      </c>
      <c r="B1" s="211"/>
      <c r="C1" s="211"/>
      <c r="D1" s="211"/>
      <c r="E1" s="211"/>
      <c r="F1" s="211"/>
    </row>
    <row r="2" spans="1:6" ht="27" customHeight="1" thickBot="1">
      <c r="A2" s="213"/>
      <c r="B2" s="211"/>
      <c r="C2" s="211"/>
      <c r="D2" s="211"/>
      <c r="E2" s="211"/>
      <c r="F2" s="214" t="s">
        <v>154</v>
      </c>
    </row>
    <row r="3" spans="1:6" ht="18.75" customHeight="1">
      <c r="A3" s="688" t="s">
        <v>60</v>
      </c>
      <c r="B3" s="678" t="s">
        <v>13</v>
      </c>
      <c r="C3" s="678" t="s">
        <v>155</v>
      </c>
      <c r="D3" s="678" t="s">
        <v>75</v>
      </c>
      <c r="E3" s="678" t="s">
        <v>67</v>
      </c>
      <c r="F3" s="680"/>
    </row>
    <row r="4" spans="1:6" ht="18" customHeight="1">
      <c r="A4" s="691"/>
      <c r="B4" s="692"/>
      <c r="C4" s="692"/>
      <c r="D4" s="692"/>
      <c r="E4" s="215" t="s">
        <v>155</v>
      </c>
      <c r="F4" s="216" t="s">
        <v>75</v>
      </c>
    </row>
    <row r="5" spans="1:6" ht="18.75" customHeight="1" hidden="1">
      <c r="A5" s="691" t="s">
        <v>79</v>
      </c>
      <c r="B5" s="217" t="s">
        <v>156</v>
      </c>
      <c r="C5" s="218">
        <v>140905799</v>
      </c>
      <c r="D5" s="218">
        <v>139904905</v>
      </c>
      <c r="E5" s="219">
        <v>99.5</v>
      </c>
      <c r="F5" s="220">
        <v>99.7</v>
      </c>
    </row>
    <row r="6" spans="1:6" ht="18.75" customHeight="1" hidden="1">
      <c r="A6" s="691"/>
      <c r="B6" s="221" t="s">
        <v>157</v>
      </c>
      <c r="C6" s="222">
        <v>78553414</v>
      </c>
      <c r="D6" s="222">
        <v>70619530</v>
      </c>
      <c r="E6" s="223">
        <v>98.5</v>
      </c>
      <c r="F6" s="224">
        <v>99.8</v>
      </c>
    </row>
    <row r="7" spans="1:6" ht="18.75" customHeight="1" hidden="1">
      <c r="A7" s="691"/>
      <c r="B7" s="225" t="s">
        <v>158</v>
      </c>
      <c r="C7" s="226">
        <v>6226733</v>
      </c>
      <c r="D7" s="226">
        <v>3467282</v>
      </c>
      <c r="E7" s="227">
        <v>99.2</v>
      </c>
      <c r="F7" s="228">
        <v>101.1</v>
      </c>
    </row>
    <row r="8" spans="1:6" ht="19.5" customHeight="1" hidden="1">
      <c r="A8" s="691"/>
      <c r="B8" s="215" t="s">
        <v>3</v>
      </c>
      <c r="C8" s="229">
        <f>SUM(C5:C7)</f>
        <v>225685946</v>
      </c>
      <c r="D8" s="229">
        <f>SUM(D5:D7)</f>
        <v>213991717</v>
      </c>
      <c r="E8" s="230">
        <v>99.2</v>
      </c>
      <c r="F8" s="231">
        <v>99.7</v>
      </c>
    </row>
    <row r="9" spans="1:6" ht="21" customHeight="1" hidden="1">
      <c r="A9" s="691" t="s">
        <v>82</v>
      </c>
      <c r="B9" s="217" t="s">
        <v>156</v>
      </c>
      <c r="C9" s="218">
        <v>137502250</v>
      </c>
      <c r="D9" s="218">
        <v>136538750</v>
      </c>
      <c r="E9" s="219">
        <f aca="true" t="shared" si="0" ref="E9:F24">ROUND((C9/C5)*100,1)</f>
        <v>97.6</v>
      </c>
      <c r="F9" s="220">
        <f t="shared" si="0"/>
        <v>97.6</v>
      </c>
    </row>
    <row r="10" spans="1:6" ht="18.75" customHeight="1" hidden="1">
      <c r="A10" s="691"/>
      <c r="B10" s="221" t="s">
        <v>157</v>
      </c>
      <c r="C10" s="222">
        <v>77299823</v>
      </c>
      <c r="D10" s="222">
        <v>70330795</v>
      </c>
      <c r="E10" s="223">
        <f t="shared" si="0"/>
        <v>98.4</v>
      </c>
      <c r="F10" s="224">
        <f t="shared" si="0"/>
        <v>99.6</v>
      </c>
    </row>
    <row r="11" spans="1:6" ht="18.75" customHeight="1" hidden="1">
      <c r="A11" s="691"/>
      <c r="B11" s="225" t="s">
        <v>158</v>
      </c>
      <c r="C11" s="226">
        <v>6216463</v>
      </c>
      <c r="D11" s="226">
        <v>3594469</v>
      </c>
      <c r="E11" s="227">
        <f t="shared" si="0"/>
        <v>99.8</v>
      </c>
      <c r="F11" s="228">
        <f t="shared" si="0"/>
        <v>103.7</v>
      </c>
    </row>
    <row r="12" spans="1:6" ht="18.75" customHeight="1" hidden="1">
      <c r="A12" s="691"/>
      <c r="B12" s="215" t="s">
        <v>3</v>
      </c>
      <c r="C12" s="229">
        <f>SUM(C9:C11)</f>
        <v>221018536</v>
      </c>
      <c r="D12" s="229">
        <f>SUM(D9:D11)</f>
        <v>210464014</v>
      </c>
      <c r="E12" s="230">
        <f t="shared" si="0"/>
        <v>97.9</v>
      </c>
      <c r="F12" s="231">
        <f t="shared" si="0"/>
        <v>98.4</v>
      </c>
    </row>
    <row r="13" spans="1:6" ht="18.75" customHeight="1" hidden="1">
      <c r="A13" s="691" t="s">
        <v>83</v>
      </c>
      <c r="B13" s="217" t="s">
        <v>156</v>
      </c>
      <c r="C13" s="218">
        <v>135137917</v>
      </c>
      <c r="D13" s="218">
        <v>134128204</v>
      </c>
      <c r="E13" s="219">
        <f t="shared" si="0"/>
        <v>98.3</v>
      </c>
      <c r="F13" s="220">
        <f t="shared" si="0"/>
        <v>98.2</v>
      </c>
    </row>
    <row r="14" spans="1:6" ht="18.75" customHeight="1" hidden="1">
      <c r="A14" s="691"/>
      <c r="B14" s="221" t="s">
        <v>157</v>
      </c>
      <c r="C14" s="222">
        <v>77408173</v>
      </c>
      <c r="D14" s="222">
        <v>71101578</v>
      </c>
      <c r="E14" s="223">
        <f t="shared" si="0"/>
        <v>100.1</v>
      </c>
      <c r="F14" s="224">
        <f t="shared" si="0"/>
        <v>101.1</v>
      </c>
    </row>
    <row r="15" spans="1:6" ht="18.75" customHeight="1" hidden="1">
      <c r="A15" s="691"/>
      <c r="B15" s="225" t="s">
        <v>158</v>
      </c>
      <c r="C15" s="226">
        <v>6120859</v>
      </c>
      <c r="D15" s="226">
        <v>3648435</v>
      </c>
      <c r="E15" s="227">
        <f t="shared" si="0"/>
        <v>98.5</v>
      </c>
      <c r="F15" s="228">
        <f t="shared" si="0"/>
        <v>101.5</v>
      </c>
    </row>
    <row r="16" spans="1:6" ht="18.75" customHeight="1" hidden="1">
      <c r="A16" s="691"/>
      <c r="B16" s="215" t="s">
        <v>3</v>
      </c>
      <c r="C16" s="229">
        <f>SUM(C13:C15)</f>
        <v>218666949</v>
      </c>
      <c r="D16" s="229">
        <f>SUM(D13:D15)</f>
        <v>208878217</v>
      </c>
      <c r="E16" s="230">
        <f t="shared" si="0"/>
        <v>98.9</v>
      </c>
      <c r="F16" s="231">
        <f t="shared" si="0"/>
        <v>99.2</v>
      </c>
    </row>
    <row r="17" spans="1:6" ht="18.75" customHeight="1" hidden="1">
      <c r="A17" s="691" t="s">
        <v>84</v>
      </c>
      <c r="B17" s="217" t="s">
        <v>159</v>
      </c>
      <c r="C17" s="218">
        <v>131453440</v>
      </c>
      <c r="D17" s="218">
        <v>130559973</v>
      </c>
      <c r="E17" s="219">
        <f t="shared" si="0"/>
        <v>97.3</v>
      </c>
      <c r="F17" s="220">
        <f t="shared" si="0"/>
        <v>97.3</v>
      </c>
    </row>
    <row r="18" spans="1:6" ht="18.75" customHeight="1" hidden="1">
      <c r="A18" s="691"/>
      <c r="B18" s="221" t="s">
        <v>160</v>
      </c>
      <c r="C18" s="222">
        <v>75425876</v>
      </c>
      <c r="D18" s="222">
        <v>71251511</v>
      </c>
      <c r="E18" s="223">
        <f t="shared" si="0"/>
        <v>97.4</v>
      </c>
      <c r="F18" s="224">
        <f t="shared" si="0"/>
        <v>100.2</v>
      </c>
    </row>
    <row r="19" spans="1:6" ht="18.75" customHeight="1" hidden="1">
      <c r="A19" s="691"/>
      <c r="B19" s="225" t="s">
        <v>161</v>
      </c>
      <c r="C19" s="226">
        <v>6053219</v>
      </c>
      <c r="D19" s="226">
        <v>3720863</v>
      </c>
      <c r="E19" s="227">
        <f t="shared" si="0"/>
        <v>98.9</v>
      </c>
      <c r="F19" s="228">
        <f t="shared" si="0"/>
        <v>102</v>
      </c>
    </row>
    <row r="20" spans="1:6" ht="18.75" customHeight="1" hidden="1">
      <c r="A20" s="689"/>
      <c r="B20" s="215" t="s">
        <v>91</v>
      </c>
      <c r="C20" s="229">
        <f>SUM(C17:C19)</f>
        <v>212932535</v>
      </c>
      <c r="D20" s="229">
        <f>SUM(D17:D19)</f>
        <v>205532347</v>
      </c>
      <c r="E20" s="230">
        <f t="shared" si="0"/>
        <v>97.4</v>
      </c>
      <c r="F20" s="231">
        <f t="shared" si="0"/>
        <v>98.4</v>
      </c>
    </row>
    <row r="21" spans="1:6" ht="18.75" customHeight="1" hidden="1">
      <c r="A21" s="684" t="s">
        <v>85</v>
      </c>
      <c r="B21" s="217" t="s">
        <v>159</v>
      </c>
      <c r="C21" s="218">
        <v>130131048</v>
      </c>
      <c r="D21" s="218">
        <v>129319407</v>
      </c>
      <c r="E21" s="219">
        <f>ROUND((C21/C17)*100,1)</f>
        <v>99</v>
      </c>
      <c r="F21" s="220">
        <f t="shared" si="0"/>
        <v>99</v>
      </c>
    </row>
    <row r="22" spans="1:6" ht="18.75" customHeight="1" hidden="1">
      <c r="A22" s="685"/>
      <c r="B22" s="221" t="s">
        <v>160</v>
      </c>
      <c r="C22" s="222">
        <v>71607998</v>
      </c>
      <c r="D22" s="222">
        <v>68756055</v>
      </c>
      <c r="E22" s="223">
        <f t="shared" si="0"/>
        <v>94.9</v>
      </c>
      <c r="F22" s="224">
        <f t="shared" si="0"/>
        <v>96.5</v>
      </c>
    </row>
    <row r="23" spans="1:6" ht="18.75" customHeight="1" hidden="1">
      <c r="A23" s="685"/>
      <c r="B23" s="225" t="s">
        <v>161</v>
      </c>
      <c r="C23" s="226">
        <v>5940397</v>
      </c>
      <c r="D23" s="226">
        <v>3707121</v>
      </c>
      <c r="E23" s="227">
        <f t="shared" si="0"/>
        <v>98.1</v>
      </c>
      <c r="F23" s="228">
        <f t="shared" si="0"/>
        <v>99.6</v>
      </c>
    </row>
    <row r="24" spans="1:6" ht="18.75" customHeight="1" hidden="1">
      <c r="A24" s="686"/>
      <c r="B24" s="217" t="s">
        <v>91</v>
      </c>
      <c r="C24" s="218">
        <f>SUM(C21:C23)</f>
        <v>207679443</v>
      </c>
      <c r="D24" s="218">
        <f>SUM(D21:D23)</f>
        <v>201782583</v>
      </c>
      <c r="E24" s="219">
        <f t="shared" si="0"/>
        <v>97.5</v>
      </c>
      <c r="F24" s="220">
        <f t="shared" si="0"/>
        <v>98.2</v>
      </c>
    </row>
    <row r="25" spans="1:6" ht="18.75" customHeight="1" hidden="1">
      <c r="A25" s="690" t="s">
        <v>36</v>
      </c>
      <c r="B25" s="217" t="s">
        <v>159</v>
      </c>
      <c r="C25" s="218">
        <v>126071227</v>
      </c>
      <c r="D25" s="218">
        <v>125391461</v>
      </c>
      <c r="E25" s="219">
        <f aca="true" t="shared" si="1" ref="E25:F40">ROUND((C25/C21)*100,1)</f>
        <v>96.9</v>
      </c>
      <c r="F25" s="220">
        <f t="shared" si="1"/>
        <v>97</v>
      </c>
    </row>
    <row r="26" spans="1:6" ht="18.75" customHeight="1" hidden="1">
      <c r="A26" s="690"/>
      <c r="B26" s="221" t="s">
        <v>160</v>
      </c>
      <c r="C26" s="222">
        <v>74276869</v>
      </c>
      <c r="D26" s="222">
        <v>70172693</v>
      </c>
      <c r="E26" s="223">
        <f t="shared" si="1"/>
        <v>103.7</v>
      </c>
      <c r="F26" s="224">
        <f t="shared" si="1"/>
        <v>102.1</v>
      </c>
    </row>
    <row r="27" spans="1:6" ht="18.75" customHeight="1" hidden="1">
      <c r="A27" s="690"/>
      <c r="B27" s="225" t="s">
        <v>161</v>
      </c>
      <c r="C27" s="226">
        <v>12572</v>
      </c>
      <c r="D27" s="226">
        <v>12572</v>
      </c>
      <c r="E27" s="227">
        <f t="shared" si="1"/>
        <v>0.2</v>
      </c>
      <c r="F27" s="228">
        <f t="shared" si="1"/>
        <v>0.3</v>
      </c>
    </row>
    <row r="28" spans="1:6" ht="18.75" customHeight="1" hidden="1">
      <c r="A28" s="690"/>
      <c r="B28" s="217" t="s">
        <v>91</v>
      </c>
      <c r="C28" s="229">
        <f>SUM(C25:C27)</f>
        <v>200360668</v>
      </c>
      <c r="D28" s="229">
        <f>SUM(D25:D27)</f>
        <v>195576726</v>
      </c>
      <c r="E28" s="219">
        <f t="shared" si="1"/>
        <v>96.5</v>
      </c>
      <c r="F28" s="231">
        <f t="shared" si="1"/>
        <v>96.9</v>
      </c>
    </row>
    <row r="29" spans="1:6" ht="18.75" customHeight="1" hidden="1">
      <c r="A29" s="690" t="s">
        <v>86</v>
      </c>
      <c r="B29" s="217" t="s">
        <v>159</v>
      </c>
      <c r="C29" s="222">
        <v>124767434</v>
      </c>
      <c r="D29" s="222">
        <v>123338931</v>
      </c>
      <c r="E29" s="219">
        <f t="shared" si="1"/>
        <v>99</v>
      </c>
      <c r="F29" s="224">
        <f t="shared" si="1"/>
        <v>98.4</v>
      </c>
    </row>
    <row r="30" spans="1:6" ht="18.75" customHeight="1" hidden="1">
      <c r="A30" s="690"/>
      <c r="B30" s="221" t="s">
        <v>160</v>
      </c>
      <c r="C30" s="222">
        <v>70185536</v>
      </c>
      <c r="D30" s="222">
        <v>66681406</v>
      </c>
      <c r="E30" s="223">
        <f t="shared" si="1"/>
        <v>94.5</v>
      </c>
      <c r="F30" s="224">
        <f t="shared" si="1"/>
        <v>95</v>
      </c>
    </row>
    <row r="31" spans="1:6" ht="18.75" customHeight="1" hidden="1">
      <c r="A31" s="690"/>
      <c r="B31" s="225" t="s">
        <v>161</v>
      </c>
      <c r="C31" s="226">
        <v>11666</v>
      </c>
      <c r="D31" s="226">
        <v>11666</v>
      </c>
      <c r="E31" s="227">
        <f t="shared" si="1"/>
        <v>92.8</v>
      </c>
      <c r="F31" s="228">
        <f t="shared" si="1"/>
        <v>92.8</v>
      </c>
    </row>
    <row r="32" spans="1:6" ht="18.75" customHeight="1" hidden="1">
      <c r="A32" s="690"/>
      <c r="B32" s="215" t="s">
        <v>91</v>
      </c>
      <c r="C32" s="229">
        <f>SUM(C29:C31)</f>
        <v>194964636</v>
      </c>
      <c r="D32" s="229">
        <f>SUM(D29:D31)</f>
        <v>190032003</v>
      </c>
      <c r="E32" s="230">
        <f t="shared" si="1"/>
        <v>97.3</v>
      </c>
      <c r="F32" s="231">
        <f t="shared" si="1"/>
        <v>97.2</v>
      </c>
    </row>
    <row r="33" spans="1:6" ht="18.75" customHeight="1" hidden="1">
      <c r="A33" s="690" t="s">
        <v>37</v>
      </c>
      <c r="B33" s="217" t="s">
        <v>159</v>
      </c>
      <c r="C33" s="218">
        <v>131331896</v>
      </c>
      <c r="D33" s="218">
        <v>130061352</v>
      </c>
      <c r="E33" s="219">
        <f t="shared" si="1"/>
        <v>105.3</v>
      </c>
      <c r="F33" s="224">
        <f t="shared" si="1"/>
        <v>105.5</v>
      </c>
    </row>
    <row r="34" spans="1:6" ht="18.75" customHeight="1" hidden="1">
      <c r="A34" s="690"/>
      <c r="B34" s="221" t="s">
        <v>160</v>
      </c>
      <c r="C34" s="222">
        <v>68858709</v>
      </c>
      <c r="D34" s="222">
        <v>65582734</v>
      </c>
      <c r="E34" s="223">
        <f t="shared" si="1"/>
        <v>98.1</v>
      </c>
      <c r="F34" s="224">
        <f t="shared" si="1"/>
        <v>98.4</v>
      </c>
    </row>
    <row r="35" spans="1:6" ht="18.75" customHeight="1" hidden="1">
      <c r="A35" s="690"/>
      <c r="B35" s="225" t="s">
        <v>161</v>
      </c>
      <c r="C35" s="226">
        <v>12991</v>
      </c>
      <c r="D35" s="226">
        <v>12991</v>
      </c>
      <c r="E35" s="227">
        <f t="shared" si="1"/>
        <v>111.4</v>
      </c>
      <c r="F35" s="228">
        <f t="shared" si="1"/>
        <v>111.4</v>
      </c>
    </row>
    <row r="36" spans="1:6" ht="18.75" customHeight="1" hidden="1">
      <c r="A36" s="690"/>
      <c r="B36" s="215" t="s">
        <v>91</v>
      </c>
      <c r="C36" s="229">
        <f>SUM(C33:C35)</f>
        <v>200203596</v>
      </c>
      <c r="D36" s="229">
        <f>SUM(D33:D35)</f>
        <v>195657077</v>
      </c>
      <c r="E36" s="230">
        <f t="shared" si="1"/>
        <v>102.7</v>
      </c>
      <c r="F36" s="231">
        <f t="shared" si="1"/>
        <v>103</v>
      </c>
    </row>
    <row r="37" spans="1:6" ht="18.75" customHeight="1" hidden="1">
      <c r="A37" s="690" t="s">
        <v>38</v>
      </c>
      <c r="B37" s="217" t="s">
        <v>159</v>
      </c>
      <c r="C37" s="218">
        <v>131531094</v>
      </c>
      <c r="D37" s="218">
        <v>130407491</v>
      </c>
      <c r="E37" s="219">
        <f t="shared" si="1"/>
        <v>100.2</v>
      </c>
      <c r="F37" s="220">
        <f t="shared" si="1"/>
        <v>100.3</v>
      </c>
    </row>
    <row r="38" spans="1:6" ht="18.75" customHeight="1" hidden="1">
      <c r="A38" s="690"/>
      <c r="B38" s="221" t="s">
        <v>160</v>
      </c>
      <c r="C38" s="222">
        <v>67105495</v>
      </c>
      <c r="D38" s="222">
        <v>63929712</v>
      </c>
      <c r="E38" s="223">
        <f t="shared" si="1"/>
        <v>97.5</v>
      </c>
      <c r="F38" s="224">
        <f t="shared" si="1"/>
        <v>97.5</v>
      </c>
    </row>
    <row r="39" spans="1:6" ht="18.75" customHeight="1" hidden="1">
      <c r="A39" s="690"/>
      <c r="B39" s="225" t="s">
        <v>161</v>
      </c>
      <c r="C39" s="226">
        <v>10090</v>
      </c>
      <c r="D39" s="226">
        <v>10090</v>
      </c>
      <c r="E39" s="227">
        <f t="shared" si="1"/>
        <v>77.7</v>
      </c>
      <c r="F39" s="228">
        <f t="shared" si="1"/>
        <v>77.7</v>
      </c>
    </row>
    <row r="40" spans="1:6" ht="18.75" customHeight="1" hidden="1">
      <c r="A40" s="690"/>
      <c r="B40" s="215" t="s">
        <v>91</v>
      </c>
      <c r="C40" s="229">
        <f>SUM(C37:C39)</f>
        <v>198646679</v>
      </c>
      <c r="D40" s="229">
        <f>SUM(D37:D39)</f>
        <v>194347293</v>
      </c>
      <c r="E40" s="230">
        <f t="shared" si="1"/>
        <v>99.2</v>
      </c>
      <c r="F40" s="231">
        <f t="shared" si="1"/>
        <v>99.3</v>
      </c>
    </row>
    <row r="41" spans="1:6" ht="18.75" customHeight="1" hidden="1">
      <c r="A41" s="686" t="s">
        <v>39</v>
      </c>
      <c r="B41" s="221" t="s">
        <v>159</v>
      </c>
      <c r="C41" s="222">
        <v>128151648</v>
      </c>
      <c r="D41" s="222">
        <v>126963837</v>
      </c>
      <c r="E41" s="223">
        <f aca="true" t="shared" si="2" ref="E41:F56">ROUND((C41/C37)*100,1)</f>
        <v>97.4</v>
      </c>
      <c r="F41" s="224">
        <f>ROUND((D41/D37)*100,1)</f>
        <v>97.4</v>
      </c>
    </row>
    <row r="42" spans="1:6" ht="18.75" customHeight="1" hidden="1">
      <c r="A42" s="690"/>
      <c r="B42" s="221" t="s">
        <v>160</v>
      </c>
      <c r="C42" s="222">
        <v>66244962</v>
      </c>
      <c r="D42" s="222">
        <v>62968405</v>
      </c>
      <c r="E42" s="223">
        <f t="shared" si="2"/>
        <v>98.7</v>
      </c>
      <c r="F42" s="224">
        <f>ROUND((D42/D38)*100,1)</f>
        <v>98.5</v>
      </c>
    </row>
    <row r="43" spans="1:6" ht="18.75" customHeight="1" hidden="1">
      <c r="A43" s="690"/>
      <c r="B43" s="225" t="s">
        <v>161</v>
      </c>
      <c r="C43" s="226">
        <v>18379</v>
      </c>
      <c r="D43" s="226">
        <v>18379</v>
      </c>
      <c r="E43" s="227">
        <f t="shared" si="2"/>
        <v>182.2</v>
      </c>
      <c r="F43" s="228">
        <f t="shared" si="2"/>
        <v>182.2</v>
      </c>
    </row>
    <row r="44" spans="1:6" ht="18.75" customHeight="1" hidden="1">
      <c r="A44" s="684"/>
      <c r="B44" s="217" t="s">
        <v>91</v>
      </c>
      <c r="C44" s="218">
        <f>SUM(C41:C43)</f>
        <v>194414989</v>
      </c>
      <c r="D44" s="218">
        <f>SUM(D41:D43)</f>
        <v>189950621</v>
      </c>
      <c r="E44" s="219">
        <f t="shared" si="2"/>
        <v>97.9</v>
      </c>
      <c r="F44" s="220">
        <f t="shared" si="2"/>
        <v>97.7</v>
      </c>
    </row>
    <row r="45" spans="1:6" ht="18.75" customHeight="1" hidden="1">
      <c r="A45" s="690" t="s">
        <v>40</v>
      </c>
      <c r="B45" s="217" t="s">
        <v>159</v>
      </c>
      <c r="C45" s="218">
        <v>123143978</v>
      </c>
      <c r="D45" s="218">
        <v>121926353</v>
      </c>
      <c r="E45" s="219">
        <f t="shared" si="2"/>
        <v>96.1</v>
      </c>
      <c r="F45" s="220">
        <f t="shared" si="2"/>
        <v>96</v>
      </c>
    </row>
    <row r="46" spans="1:6" ht="18.75" customHeight="1" hidden="1">
      <c r="A46" s="690"/>
      <c r="B46" s="221" t="s">
        <v>160</v>
      </c>
      <c r="C46" s="222">
        <v>66005662</v>
      </c>
      <c r="D46" s="222">
        <v>62371381</v>
      </c>
      <c r="E46" s="223">
        <f t="shared" si="2"/>
        <v>99.6</v>
      </c>
      <c r="F46" s="224">
        <f t="shared" si="2"/>
        <v>99.1</v>
      </c>
    </row>
    <row r="47" spans="1:6" ht="18.75" customHeight="1" hidden="1">
      <c r="A47" s="690"/>
      <c r="B47" s="225" t="s">
        <v>161</v>
      </c>
      <c r="C47" s="226">
        <v>15831</v>
      </c>
      <c r="D47" s="226">
        <v>15831</v>
      </c>
      <c r="E47" s="227">
        <f t="shared" si="2"/>
        <v>86.1</v>
      </c>
      <c r="F47" s="228">
        <f t="shared" si="2"/>
        <v>86.1</v>
      </c>
    </row>
    <row r="48" spans="1:6" ht="18.75" customHeight="1" hidden="1">
      <c r="A48" s="684"/>
      <c r="B48" s="217" t="s">
        <v>91</v>
      </c>
      <c r="C48" s="218">
        <f>SUM(C45:C47)</f>
        <v>189165471</v>
      </c>
      <c r="D48" s="218">
        <f>SUM(D45:D47)</f>
        <v>184313565</v>
      </c>
      <c r="E48" s="219">
        <f t="shared" si="2"/>
        <v>97.3</v>
      </c>
      <c r="F48" s="220">
        <f t="shared" si="2"/>
        <v>97</v>
      </c>
    </row>
    <row r="49" spans="1:6" ht="18.75" customHeight="1" hidden="1">
      <c r="A49" s="690" t="s">
        <v>41</v>
      </c>
      <c r="B49" s="217" t="s">
        <v>159</v>
      </c>
      <c r="C49" s="218">
        <v>123184169</v>
      </c>
      <c r="D49" s="218">
        <v>121621834</v>
      </c>
      <c r="E49" s="219">
        <f t="shared" si="2"/>
        <v>100</v>
      </c>
      <c r="F49" s="220">
        <f t="shared" si="2"/>
        <v>99.8</v>
      </c>
    </row>
    <row r="50" spans="1:6" ht="18.75" customHeight="1" hidden="1">
      <c r="A50" s="690"/>
      <c r="B50" s="221" t="s">
        <v>160</v>
      </c>
      <c r="C50" s="222">
        <v>65575066</v>
      </c>
      <c r="D50" s="222">
        <v>61579062</v>
      </c>
      <c r="E50" s="223">
        <f t="shared" si="2"/>
        <v>99.3</v>
      </c>
      <c r="F50" s="224">
        <f t="shared" si="2"/>
        <v>98.7</v>
      </c>
    </row>
    <row r="51" spans="1:6" ht="18.75" customHeight="1" hidden="1">
      <c r="A51" s="690"/>
      <c r="B51" s="225" t="s">
        <v>161</v>
      </c>
      <c r="C51" s="226">
        <v>14376</v>
      </c>
      <c r="D51" s="226">
        <v>14376</v>
      </c>
      <c r="E51" s="227">
        <f t="shared" si="2"/>
        <v>90.8</v>
      </c>
      <c r="F51" s="228">
        <f t="shared" si="2"/>
        <v>90.8</v>
      </c>
    </row>
    <row r="52" spans="1:6" ht="18.75" customHeight="1" hidden="1">
      <c r="A52" s="690"/>
      <c r="B52" s="215" t="s">
        <v>91</v>
      </c>
      <c r="C52" s="229">
        <f>SUM(C49:C51)</f>
        <v>188773611</v>
      </c>
      <c r="D52" s="229">
        <f>SUM(D49:D51)</f>
        <v>183215272</v>
      </c>
      <c r="E52" s="230">
        <f t="shared" si="2"/>
        <v>99.8</v>
      </c>
      <c r="F52" s="231">
        <f t="shared" si="2"/>
        <v>99.4</v>
      </c>
    </row>
    <row r="53" spans="1:6" ht="18.75" customHeight="1" hidden="1">
      <c r="A53" s="690" t="s">
        <v>42</v>
      </c>
      <c r="B53" s="217" t="s">
        <v>159</v>
      </c>
      <c r="C53" s="218">
        <v>118881264</v>
      </c>
      <c r="D53" s="218">
        <v>117583056</v>
      </c>
      <c r="E53" s="219">
        <f t="shared" si="2"/>
        <v>96.5</v>
      </c>
      <c r="F53" s="220">
        <f t="shared" si="2"/>
        <v>96.7</v>
      </c>
    </row>
    <row r="54" spans="1:6" ht="18.75" customHeight="1" hidden="1">
      <c r="A54" s="690"/>
      <c r="B54" s="221" t="s">
        <v>160</v>
      </c>
      <c r="C54" s="222">
        <v>64970876</v>
      </c>
      <c r="D54" s="222">
        <v>60906716</v>
      </c>
      <c r="E54" s="223">
        <f t="shared" si="2"/>
        <v>99.1</v>
      </c>
      <c r="F54" s="224">
        <f t="shared" si="2"/>
        <v>98.9</v>
      </c>
    </row>
    <row r="55" spans="1:6" ht="18.75" customHeight="1" hidden="1">
      <c r="A55" s="690"/>
      <c r="B55" s="225" t="s">
        <v>161</v>
      </c>
      <c r="C55" s="226">
        <v>12678</v>
      </c>
      <c r="D55" s="226">
        <v>12678</v>
      </c>
      <c r="E55" s="227">
        <f t="shared" si="2"/>
        <v>88.2</v>
      </c>
      <c r="F55" s="228">
        <f t="shared" si="2"/>
        <v>88.2</v>
      </c>
    </row>
    <row r="56" spans="1:6" ht="18.75" customHeight="1" hidden="1">
      <c r="A56" s="690"/>
      <c r="B56" s="215" t="s">
        <v>91</v>
      </c>
      <c r="C56" s="229">
        <f>SUM(C53:C55)</f>
        <v>183864818</v>
      </c>
      <c r="D56" s="229">
        <f>SUM(D53:D55)</f>
        <v>178502450</v>
      </c>
      <c r="E56" s="230">
        <f t="shared" si="2"/>
        <v>97.4</v>
      </c>
      <c r="F56" s="231">
        <f t="shared" si="2"/>
        <v>97.4</v>
      </c>
    </row>
    <row r="57" spans="1:6" ht="18.75" customHeight="1" hidden="1">
      <c r="A57" s="690" t="s">
        <v>162</v>
      </c>
      <c r="B57" s="217" t="s">
        <v>159</v>
      </c>
      <c r="C57" s="218">
        <v>113862529</v>
      </c>
      <c r="D57" s="218">
        <v>112810583</v>
      </c>
      <c r="E57" s="219">
        <f aca="true" t="shared" si="3" ref="E57:F64">ROUND((C57/C53)*100,1)</f>
        <v>95.8</v>
      </c>
      <c r="F57" s="220">
        <f t="shared" si="3"/>
        <v>95.9</v>
      </c>
    </row>
    <row r="58" spans="1:6" ht="18.75" customHeight="1" hidden="1">
      <c r="A58" s="690"/>
      <c r="B58" s="221" t="s">
        <v>160</v>
      </c>
      <c r="C58" s="222">
        <v>64780346</v>
      </c>
      <c r="D58" s="222">
        <v>60871142</v>
      </c>
      <c r="E58" s="223">
        <f t="shared" si="3"/>
        <v>99.7</v>
      </c>
      <c r="F58" s="224">
        <f t="shared" si="3"/>
        <v>99.9</v>
      </c>
    </row>
    <row r="59" spans="1:6" ht="18.75" customHeight="1" hidden="1">
      <c r="A59" s="690"/>
      <c r="B59" s="225" t="s">
        <v>161</v>
      </c>
      <c r="C59" s="232" t="s">
        <v>163</v>
      </c>
      <c r="D59" s="232" t="s">
        <v>163</v>
      </c>
      <c r="E59" s="233" t="s">
        <v>164</v>
      </c>
      <c r="F59" s="234" t="s">
        <v>164</v>
      </c>
    </row>
    <row r="60" spans="1:6" ht="18.75" customHeight="1" hidden="1">
      <c r="A60" s="690"/>
      <c r="B60" s="215" t="s">
        <v>91</v>
      </c>
      <c r="C60" s="229">
        <f>SUM(C57:C59)</f>
        <v>178642875</v>
      </c>
      <c r="D60" s="229">
        <f>SUM(D57:D59)</f>
        <v>173681725</v>
      </c>
      <c r="E60" s="230">
        <f t="shared" si="3"/>
        <v>97.2</v>
      </c>
      <c r="F60" s="231">
        <f t="shared" si="3"/>
        <v>97.3</v>
      </c>
    </row>
    <row r="61" spans="1:6" ht="18.75" customHeight="1" hidden="1">
      <c r="A61" s="684" t="s">
        <v>19</v>
      </c>
      <c r="B61" s="221" t="s">
        <v>159</v>
      </c>
      <c r="C61" s="222">
        <v>114354574</v>
      </c>
      <c r="D61" s="222">
        <v>113445493</v>
      </c>
      <c r="E61" s="223">
        <f t="shared" si="3"/>
        <v>100.4</v>
      </c>
      <c r="F61" s="224">
        <f t="shared" si="3"/>
        <v>100.6</v>
      </c>
    </row>
    <row r="62" spans="1:6" ht="18.75" customHeight="1" hidden="1">
      <c r="A62" s="685"/>
      <c r="B62" s="221" t="s">
        <v>160</v>
      </c>
      <c r="C62" s="222">
        <v>63925447</v>
      </c>
      <c r="D62" s="222">
        <v>60265880</v>
      </c>
      <c r="E62" s="223">
        <f t="shared" si="3"/>
        <v>98.7</v>
      </c>
      <c r="F62" s="224">
        <f t="shared" si="3"/>
        <v>99</v>
      </c>
    </row>
    <row r="63" spans="1:6" ht="18.75" customHeight="1" hidden="1">
      <c r="A63" s="685"/>
      <c r="B63" s="225" t="s">
        <v>161</v>
      </c>
      <c r="C63" s="232" t="s">
        <v>163</v>
      </c>
      <c r="D63" s="232" t="s">
        <v>163</v>
      </c>
      <c r="E63" s="233" t="s">
        <v>164</v>
      </c>
      <c r="F63" s="234" t="s">
        <v>164</v>
      </c>
    </row>
    <row r="64" spans="1:6" ht="18.75" customHeight="1" hidden="1">
      <c r="A64" s="686"/>
      <c r="B64" s="215" t="s">
        <v>91</v>
      </c>
      <c r="C64" s="229">
        <f>SUM(C61:C63)</f>
        <v>178280021</v>
      </c>
      <c r="D64" s="229">
        <f>SUM(D61:D63)</f>
        <v>173711373</v>
      </c>
      <c r="E64" s="230">
        <f t="shared" si="3"/>
        <v>99.8</v>
      </c>
      <c r="F64" s="231">
        <f t="shared" si="3"/>
        <v>100</v>
      </c>
    </row>
    <row r="65" spans="1:6" ht="18.75" customHeight="1" hidden="1">
      <c r="A65" s="684" t="s">
        <v>132</v>
      </c>
      <c r="B65" s="217" t="s">
        <v>159</v>
      </c>
      <c r="C65" s="218">
        <v>114658590</v>
      </c>
      <c r="D65" s="218">
        <v>113588243</v>
      </c>
      <c r="E65" s="219">
        <f>ROUND((C65/C61)*100,1)</f>
        <v>100.3</v>
      </c>
      <c r="F65" s="235">
        <f>ROUND((D65/D61)*100,1)</f>
        <v>100.1</v>
      </c>
    </row>
    <row r="66" spans="1:6" ht="18.75" customHeight="1" hidden="1">
      <c r="A66" s="685"/>
      <c r="B66" s="221" t="s">
        <v>165</v>
      </c>
      <c r="C66" s="222">
        <v>62483192</v>
      </c>
      <c r="D66" s="222">
        <v>59102967</v>
      </c>
      <c r="E66" s="223">
        <f>ROUND((C66/C62)*100,1)</f>
        <v>97.7</v>
      </c>
      <c r="F66" s="235">
        <f>ROUND((D66/D62)*100,1)</f>
        <v>98.1</v>
      </c>
    </row>
    <row r="67" spans="1:6" ht="18.75" customHeight="1" hidden="1">
      <c r="A67" s="685"/>
      <c r="B67" s="221" t="s">
        <v>161</v>
      </c>
      <c r="C67" s="236" t="s">
        <v>163</v>
      </c>
      <c r="D67" s="236" t="s">
        <v>163</v>
      </c>
      <c r="E67" s="237" t="s">
        <v>163</v>
      </c>
      <c r="F67" s="238" t="s">
        <v>163</v>
      </c>
    </row>
    <row r="68" spans="1:6" ht="18.75" customHeight="1" hidden="1">
      <c r="A68" s="686"/>
      <c r="B68" s="217" t="s">
        <v>91</v>
      </c>
      <c r="C68" s="218">
        <f>SUM(C65:C67)</f>
        <v>177141782</v>
      </c>
      <c r="D68" s="218">
        <f>SUM(D65:D67)</f>
        <v>172691210</v>
      </c>
      <c r="E68" s="219">
        <f aca="true" t="shared" si="4" ref="E68:F70">ROUND((C68/C64)*100,1)</f>
        <v>99.4</v>
      </c>
      <c r="F68" s="228">
        <f t="shared" si="4"/>
        <v>99.4</v>
      </c>
    </row>
    <row r="69" spans="1:6" ht="18.75" customHeight="1" hidden="1">
      <c r="A69" s="684" t="s">
        <v>23</v>
      </c>
      <c r="B69" s="217" t="s">
        <v>159</v>
      </c>
      <c r="C69" s="218">
        <v>120545428</v>
      </c>
      <c r="D69" s="218">
        <v>118629818</v>
      </c>
      <c r="E69" s="219">
        <f t="shared" si="4"/>
        <v>105.1</v>
      </c>
      <c r="F69" s="235">
        <f t="shared" si="4"/>
        <v>104.4</v>
      </c>
    </row>
    <row r="70" spans="1:6" ht="18.75" customHeight="1" hidden="1">
      <c r="A70" s="685"/>
      <c r="B70" s="221" t="s">
        <v>165</v>
      </c>
      <c r="C70" s="222">
        <v>61793467</v>
      </c>
      <c r="D70" s="222">
        <v>58631073</v>
      </c>
      <c r="E70" s="223">
        <f t="shared" si="4"/>
        <v>98.9</v>
      </c>
      <c r="F70" s="235">
        <f t="shared" si="4"/>
        <v>99.2</v>
      </c>
    </row>
    <row r="71" spans="1:6" ht="18.75" customHeight="1" hidden="1">
      <c r="A71" s="685"/>
      <c r="B71" s="221" t="s">
        <v>161</v>
      </c>
      <c r="C71" s="236" t="s">
        <v>163</v>
      </c>
      <c r="D71" s="236" t="s">
        <v>163</v>
      </c>
      <c r="E71" s="237" t="s">
        <v>163</v>
      </c>
      <c r="F71" s="238" t="s">
        <v>163</v>
      </c>
    </row>
    <row r="72" spans="1:6" ht="18.75" customHeight="1" hidden="1">
      <c r="A72" s="686"/>
      <c r="B72" s="217" t="s">
        <v>91</v>
      </c>
      <c r="C72" s="218">
        <f>SUM(C69:C71)</f>
        <v>182338895</v>
      </c>
      <c r="D72" s="218">
        <f>SUM(D69:D71)</f>
        <v>177260891</v>
      </c>
      <c r="E72" s="219">
        <f aca="true" t="shared" si="5" ref="E72:F74">ROUND((C72/C68)*100,1)</f>
        <v>102.9</v>
      </c>
      <c r="F72" s="228">
        <f t="shared" si="5"/>
        <v>102.6</v>
      </c>
    </row>
    <row r="73" spans="1:6" ht="18.75" customHeight="1" hidden="1">
      <c r="A73" s="684" t="s">
        <v>24</v>
      </c>
      <c r="B73" s="217" t="s">
        <v>159</v>
      </c>
      <c r="C73" s="218">
        <v>126135552</v>
      </c>
      <c r="D73" s="218">
        <v>123793926</v>
      </c>
      <c r="E73" s="219">
        <f>ROUND((C73/C69)*100,1)</f>
        <v>104.6</v>
      </c>
      <c r="F73" s="235">
        <f>ROUND((D73/D69)*100,1)</f>
        <v>104.4</v>
      </c>
    </row>
    <row r="74" spans="1:6" ht="18.75" customHeight="1" hidden="1">
      <c r="A74" s="685"/>
      <c r="B74" s="221" t="s">
        <v>165</v>
      </c>
      <c r="C74" s="222">
        <v>61572187</v>
      </c>
      <c r="D74" s="222">
        <v>58401948</v>
      </c>
      <c r="E74" s="223">
        <f>ROUND((C74/C70)*100,1)</f>
        <v>99.6</v>
      </c>
      <c r="F74" s="235">
        <f t="shared" si="5"/>
        <v>99.6</v>
      </c>
    </row>
    <row r="75" spans="1:6" ht="18.75" customHeight="1" hidden="1">
      <c r="A75" s="685"/>
      <c r="B75" s="221" t="s">
        <v>161</v>
      </c>
      <c r="C75" s="236" t="s">
        <v>163</v>
      </c>
      <c r="D75" s="236" t="s">
        <v>163</v>
      </c>
      <c r="E75" s="237" t="s">
        <v>163</v>
      </c>
      <c r="F75" s="238" t="s">
        <v>163</v>
      </c>
    </row>
    <row r="76" spans="1:6" ht="18.75" customHeight="1" hidden="1">
      <c r="A76" s="686"/>
      <c r="B76" s="217" t="s">
        <v>91</v>
      </c>
      <c r="C76" s="218">
        <f>SUM(C73:C75)</f>
        <v>187707739</v>
      </c>
      <c r="D76" s="218">
        <f>SUM(D73:D75)</f>
        <v>182195874</v>
      </c>
      <c r="E76" s="219">
        <f aca="true" t="shared" si="6" ref="E76:F78">ROUND((C76/C72)*100,1)</f>
        <v>102.9</v>
      </c>
      <c r="F76" s="228">
        <f t="shared" si="6"/>
        <v>102.8</v>
      </c>
    </row>
    <row r="77" spans="1:6" ht="18.75" customHeight="1" hidden="1">
      <c r="A77" s="684" t="s">
        <v>25</v>
      </c>
      <c r="B77" s="217" t="s">
        <v>159</v>
      </c>
      <c r="C77" s="218">
        <v>126413946</v>
      </c>
      <c r="D77" s="218">
        <v>124297514</v>
      </c>
      <c r="E77" s="219">
        <f t="shared" si="6"/>
        <v>100.2</v>
      </c>
      <c r="F77" s="235">
        <f t="shared" si="6"/>
        <v>100.4</v>
      </c>
    </row>
    <row r="78" spans="1:6" ht="18.75" customHeight="1" hidden="1">
      <c r="A78" s="685"/>
      <c r="B78" s="221" t="s">
        <v>165</v>
      </c>
      <c r="C78" s="222">
        <v>63012112</v>
      </c>
      <c r="D78" s="222">
        <v>59225368</v>
      </c>
      <c r="E78" s="223">
        <f t="shared" si="6"/>
        <v>102.3</v>
      </c>
      <c r="F78" s="235">
        <f t="shared" si="6"/>
        <v>101.4</v>
      </c>
    </row>
    <row r="79" spans="1:6" ht="18.75" customHeight="1" hidden="1">
      <c r="A79" s="685"/>
      <c r="B79" s="225" t="s">
        <v>161</v>
      </c>
      <c r="C79" s="232" t="s">
        <v>163</v>
      </c>
      <c r="D79" s="232" t="s">
        <v>163</v>
      </c>
      <c r="E79" s="239" t="s">
        <v>163</v>
      </c>
      <c r="F79" s="240" t="s">
        <v>163</v>
      </c>
    </row>
    <row r="80" spans="1:6" ht="18.75" customHeight="1" hidden="1">
      <c r="A80" s="685"/>
      <c r="B80" s="221" t="s">
        <v>91</v>
      </c>
      <c r="C80" s="222">
        <f>SUM(C77:C79)</f>
        <v>189426058</v>
      </c>
      <c r="D80" s="222">
        <f>SUM(D77:D79)</f>
        <v>183522882</v>
      </c>
      <c r="E80" s="223">
        <f aca="true" t="shared" si="7" ref="E80:F82">ROUND((C80/C76)*100,1)</f>
        <v>100.9</v>
      </c>
      <c r="F80" s="235">
        <f t="shared" si="7"/>
        <v>100.7</v>
      </c>
    </row>
    <row r="81" spans="1:6" ht="18.75" customHeight="1">
      <c r="A81" s="684" t="s">
        <v>46</v>
      </c>
      <c r="B81" s="217" t="s">
        <v>159</v>
      </c>
      <c r="C81" s="218">
        <v>128269502</v>
      </c>
      <c r="D81" s="218">
        <v>126173197</v>
      </c>
      <c r="E81" s="219">
        <f>ROUND((C81/C77)*100,1)</f>
        <v>101.5</v>
      </c>
      <c r="F81" s="241">
        <f t="shared" si="7"/>
        <v>101.5</v>
      </c>
    </row>
    <row r="82" spans="1:6" ht="18.75" customHeight="1">
      <c r="A82" s="685"/>
      <c r="B82" s="221" t="s">
        <v>165</v>
      </c>
      <c r="C82" s="222">
        <v>63373639</v>
      </c>
      <c r="D82" s="222">
        <v>59057580</v>
      </c>
      <c r="E82" s="223">
        <f t="shared" si="7"/>
        <v>100.6</v>
      </c>
      <c r="F82" s="235">
        <f t="shared" si="7"/>
        <v>99.7</v>
      </c>
    </row>
    <row r="83" spans="1:6" ht="18.75" customHeight="1">
      <c r="A83" s="685"/>
      <c r="B83" s="225" t="s">
        <v>161</v>
      </c>
      <c r="C83" s="232" t="s">
        <v>163</v>
      </c>
      <c r="D83" s="232" t="s">
        <v>163</v>
      </c>
      <c r="E83" s="239" t="s">
        <v>163</v>
      </c>
      <c r="F83" s="240" t="s">
        <v>163</v>
      </c>
    </row>
    <row r="84" spans="1:6" ht="18.75" customHeight="1">
      <c r="A84" s="686"/>
      <c r="B84" s="225" t="s">
        <v>91</v>
      </c>
      <c r="C84" s="226">
        <f>SUM(C81:C83)</f>
        <v>191643141</v>
      </c>
      <c r="D84" s="226">
        <f>SUM(D81:D83)</f>
        <v>185230777</v>
      </c>
      <c r="E84" s="227">
        <f aca="true" t="shared" si="8" ref="E84:F86">ROUND((C84/C80)*100,1)</f>
        <v>101.2</v>
      </c>
      <c r="F84" s="242">
        <f>ROUND((D84/D80)*100,1)</f>
        <v>100.9</v>
      </c>
    </row>
    <row r="85" spans="1:6" ht="18.75" customHeight="1">
      <c r="A85" s="685" t="s">
        <v>134</v>
      </c>
      <c r="B85" s="221" t="s">
        <v>159</v>
      </c>
      <c r="C85" s="222">
        <v>136153610</v>
      </c>
      <c r="D85" s="222">
        <v>133118651</v>
      </c>
      <c r="E85" s="223">
        <f t="shared" si="8"/>
        <v>106.1</v>
      </c>
      <c r="F85" s="235">
        <f t="shared" si="8"/>
        <v>105.5</v>
      </c>
    </row>
    <row r="86" spans="1:6" ht="18.75" customHeight="1">
      <c r="A86" s="685"/>
      <c r="B86" s="221" t="s">
        <v>165</v>
      </c>
      <c r="C86" s="222">
        <v>62135003</v>
      </c>
      <c r="D86" s="222">
        <v>57749532</v>
      </c>
      <c r="E86" s="223">
        <f t="shared" si="8"/>
        <v>98</v>
      </c>
      <c r="F86" s="235">
        <f t="shared" si="8"/>
        <v>97.8</v>
      </c>
    </row>
    <row r="87" spans="1:6" ht="18.75" customHeight="1">
      <c r="A87" s="685"/>
      <c r="B87" s="225" t="s">
        <v>161</v>
      </c>
      <c r="C87" s="232" t="s">
        <v>163</v>
      </c>
      <c r="D87" s="232" t="s">
        <v>163</v>
      </c>
      <c r="E87" s="239" t="s">
        <v>163</v>
      </c>
      <c r="F87" s="240" t="s">
        <v>163</v>
      </c>
    </row>
    <row r="88" spans="1:6" ht="18.75" customHeight="1">
      <c r="A88" s="685"/>
      <c r="B88" s="221" t="s">
        <v>91</v>
      </c>
      <c r="C88" s="222">
        <f>SUM(C85:C87)</f>
        <v>198288613</v>
      </c>
      <c r="D88" s="222">
        <f>SUM(D85:D87)</f>
        <v>190868183</v>
      </c>
      <c r="E88" s="223">
        <f>ROUND((C88/C84)*100,1)</f>
        <v>103.5</v>
      </c>
      <c r="F88" s="235">
        <f>ROUND((D88/D84)*100,1)</f>
        <v>103</v>
      </c>
    </row>
    <row r="89" spans="1:6" ht="18.75" customHeight="1">
      <c r="A89" s="684" t="s">
        <v>27</v>
      </c>
      <c r="B89" s="217" t="s">
        <v>159</v>
      </c>
      <c r="C89" s="218">
        <v>137702850</v>
      </c>
      <c r="D89" s="218">
        <v>133200137</v>
      </c>
      <c r="E89" s="219">
        <f>ROUND((C89/C81)*100,1)</f>
        <v>107.4</v>
      </c>
      <c r="F89" s="241">
        <f>ROUND((D89/D81)*100,1)</f>
        <v>105.6</v>
      </c>
    </row>
    <row r="90" spans="1:6" ht="18.75" customHeight="1">
      <c r="A90" s="685"/>
      <c r="B90" s="221" t="s">
        <v>165</v>
      </c>
      <c r="C90" s="222">
        <v>60888088</v>
      </c>
      <c r="D90" s="222">
        <v>56733273</v>
      </c>
      <c r="E90" s="223">
        <f>ROUND((C90/C82)*100,1)</f>
        <v>96.1</v>
      </c>
      <c r="F90" s="235">
        <f>ROUND((D90/D82)*100,1)</f>
        <v>96.1</v>
      </c>
    </row>
    <row r="91" spans="1:6" ht="18.75" customHeight="1">
      <c r="A91" s="685"/>
      <c r="B91" s="225" t="s">
        <v>161</v>
      </c>
      <c r="C91" s="232" t="s">
        <v>163</v>
      </c>
      <c r="D91" s="232" t="s">
        <v>163</v>
      </c>
      <c r="E91" s="239" t="s">
        <v>163</v>
      </c>
      <c r="F91" s="240" t="s">
        <v>163</v>
      </c>
    </row>
    <row r="92" spans="1:6" ht="18.75" customHeight="1">
      <c r="A92" s="686"/>
      <c r="B92" s="225" t="s">
        <v>91</v>
      </c>
      <c r="C92" s="226">
        <f>SUM(C89:C91)</f>
        <v>198590938</v>
      </c>
      <c r="D92" s="226">
        <f>SUM(D89:D91)</f>
        <v>189933410</v>
      </c>
      <c r="E92" s="227">
        <f>ROUND((C92/C84)*100,1)</f>
        <v>103.6</v>
      </c>
      <c r="F92" s="242">
        <f>ROUND((D92/D84)*100,1)</f>
        <v>102.5</v>
      </c>
    </row>
    <row r="93" spans="1:6" ht="18.75" customHeight="1">
      <c r="A93" s="685" t="s">
        <v>30</v>
      </c>
      <c r="B93" s="221" t="s">
        <v>159</v>
      </c>
      <c r="C93" s="222">
        <v>131762430</v>
      </c>
      <c r="D93" s="222">
        <v>122011087</v>
      </c>
      <c r="E93" s="223">
        <f>ROUND((C93/C89)*100,1)</f>
        <v>95.7</v>
      </c>
      <c r="F93" s="235">
        <f>ROUND((D93/D89)*100,1)</f>
        <v>91.6</v>
      </c>
    </row>
    <row r="94" spans="1:6" ht="18.75" customHeight="1">
      <c r="A94" s="685"/>
      <c r="B94" s="221" t="s">
        <v>165</v>
      </c>
      <c r="C94" s="222">
        <v>59578407</v>
      </c>
      <c r="D94" s="222">
        <v>55690409</v>
      </c>
      <c r="E94" s="223">
        <f>ROUND((C94/C90)*100,1)</f>
        <v>97.8</v>
      </c>
      <c r="F94" s="235">
        <f>ROUND((D94/D90)*100,1)</f>
        <v>98.2</v>
      </c>
    </row>
    <row r="95" spans="1:6" ht="18.75" customHeight="1">
      <c r="A95" s="685"/>
      <c r="B95" s="225" t="s">
        <v>161</v>
      </c>
      <c r="C95" s="232" t="s">
        <v>163</v>
      </c>
      <c r="D95" s="232" t="s">
        <v>163</v>
      </c>
      <c r="E95" s="239" t="s">
        <v>163</v>
      </c>
      <c r="F95" s="240" t="s">
        <v>163</v>
      </c>
    </row>
    <row r="96" spans="1:6" ht="18.75" customHeight="1">
      <c r="A96" s="685"/>
      <c r="B96" s="221" t="s">
        <v>91</v>
      </c>
      <c r="C96" s="222">
        <f>SUM(C93:C95)</f>
        <v>191340837</v>
      </c>
      <c r="D96" s="222">
        <f>SUM(D93:D95)</f>
        <v>177701496</v>
      </c>
      <c r="E96" s="223">
        <f aca="true" t="shared" si="9" ref="E96:F98">ROUND((C96/C92)*100,1)</f>
        <v>96.3</v>
      </c>
      <c r="F96" s="235">
        <f t="shared" si="9"/>
        <v>93.6</v>
      </c>
    </row>
    <row r="97" spans="1:6" ht="18.75" customHeight="1">
      <c r="A97" s="684" t="s">
        <v>35</v>
      </c>
      <c r="B97" s="217" t="s">
        <v>159</v>
      </c>
      <c r="C97" s="218">
        <v>139299121</v>
      </c>
      <c r="D97" s="218">
        <v>134697041</v>
      </c>
      <c r="E97" s="219">
        <f t="shared" si="9"/>
        <v>105.7</v>
      </c>
      <c r="F97" s="241">
        <f t="shared" si="9"/>
        <v>110.4</v>
      </c>
    </row>
    <row r="98" spans="1:6" ht="18.75" customHeight="1">
      <c r="A98" s="685"/>
      <c r="B98" s="221" t="s">
        <v>165</v>
      </c>
      <c r="C98" s="222">
        <v>57106952</v>
      </c>
      <c r="D98" s="222">
        <v>53561645</v>
      </c>
      <c r="E98" s="223">
        <f t="shared" si="9"/>
        <v>95.9</v>
      </c>
      <c r="F98" s="235">
        <f t="shared" si="9"/>
        <v>96.2</v>
      </c>
    </row>
    <row r="99" spans="1:6" ht="18.75" customHeight="1">
      <c r="A99" s="685"/>
      <c r="B99" s="225" t="s">
        <v>161</v>
      </c>
      <c r="C99" s="232" t="s">
        <v>163</v>
      </c>
      <c r="D99" s="232" t="s">
        <v>163</v>
      </c>
      <c r="E99" s="239" t="s">
        <v>163</v>
      </c>
      <c r="F99" s="240" t="s">
        <v>163</v>
      </c>
    </row>
    <row r="100" spans="1:6" ht="18.75" customHeight="1" thickBot="1">
      <c r="A100" s="687"/>
      <c r="B100" s="243" t="s">
        <v>91</v>
      </c>
      <c r="C100" s="244">
        <f>SUM(C97:C99)</f>
        <v>196406073</v>
      </c>
      <c r="D100" s="244">
        <f>SUM(D97:D99)</f>
        <v>188258686</v>
      </c>
      <c r="E100" s="245">
        <f>ROUND((C100/C96)*100,1)</f>
        <v>102.6</v>
      </c>
      <c r="F100" s="246">
        <f>ROUND((D100/D96)*100,1)</f>
        <v>105.9</v>
      </c>
    </row>
    <row r="101" spans="1:6" ht="18.75" customHeight="1">
      <c r="A101" s="211" t="s">
        <v>166</v>
      </c>
      <c r="B101" s="211"/>
      <c r="C101" s="247"/>
      <c r="D101" s="247"/>
      <c r="E101" s="248"/>
      <c r="F101" s="248"/>
    </row>
    <row r="102" spans="1:6" ht="18.75" customHeight="1">
      <c r="A102" s="211"/>
      <c r="B102" s="211"/>
      <c r="C102" s="211"/>
      <c r="D102" s="211"/>
      <c r="E102" s="211"/>
      <c r="F102" s="211"/>
    </row>
    <row r="103" spans="1:6" ht="18.75" customHeight="1" thickBot="1">
      <c r="A103" s="249" t="s">
        <v>167</v>
      </c>
      <c r="B103" s="211"/>
      <c r="C103" s="211"/>
      <c r="D103" s="211"/>
      <c r="E103" s="211"/>
      <c r="F103" s="214" t="s">
        <v>168</v>
      </c>
    </row>
    <row r="104" spans="1:6" ht="18.75" customHeight="1">
      <c r="A104" s="688" t="s">
        <v>13</v>
      </c>
      <c r="B104" s="678" t="s">
        <v>155</v>
      </c>
      <c r="C104" s="678" t="s">
        <v>75</v>
      </c>
      <c r="D104" s="678" t="s">
        <v>169</v>
      </c>
      <c r="E104" s="678"/>
      <c r="F104" s="680"/>
    </row>
    <row r="105" spans="1:6" ht="18.75" customHeight="1">
      <c r="A105" s="689"/>
      <c r="B105" s="679"/>
      <c r="C105" s="679"/>
      <c r="D105" s="217" t="s">
        <v>170</v>
      </c>
      <c r="E105" s="679" t="s">
        <v>171</v>
      </c>
      <c r="F105" s="681"/>
    </row>
    <row r="106" spans="1:6" ht="18.75" customHeight="1">
      <c r="A106" s="250" t="s">
        <v>172</v>
      </c>
      <c r="B106" s="218">
        <v>41653328</v>
      </c>
      <c r="C106" s="218">
        <v>41388289</v>
      </c>
      <c r="D106" s="218">
        <v>196219</v>
      </c>
      <c r="E106" s="682">
        <v>41192070</v>
      </c>
      <c r="F106" s="683"/>
    </row>
    <row r="107" spans="1:6" ht="18.75" customHeight="1">
      <c r="A107" s="251" t="s">
        <v>173</v>
      </c>
      <c r="B107" s="222">
        <v>62981392</v>
      </c>
      <c r="C107" s="222">
        <v>58819971</v>
      </c>
      <c r="D107" s="222">
        <v>408020</v>
      </c>
      <c r="E107" s="670">
        <v>58411951</v>
      </c>
      <c r="F107" s="671"/>
    </row>
    <row r="108" spans="1:6" ht="18.75" customHeight="1">
      <c r="A108" s="251" t="s">
        <v>174</v>
      </c>
      <c r="B108" s="222">
        <v>33815</v>
      </c>
      <c r="C108" s="222">
        <v>33815</v>
      </c>
      <c r="D108" s="252" t="s">
        <v>163</v>
      </c>
      <c r="E108" s="670">
        <v>33815</v>
      </c>
      <c r="F108" s="671"/>
    </row>
    <row r="109" spans="1:6" ht="18.75" customHeight="1">
      <c r="A109" s="251" t="s">
        <v>175</v>
      </c>
      <c r="B109" s="252" t="s">
        <v>164</v>
      </c>
      <c r="C109" s="252" t="s">
        <v>164</v>
      </c>
      <c r="D109" s="252" t="s">
        <v>164</v>
      </c>
      <c r="E109" s="672" t="s">
        <v>164</v>
      </c>
      <c r="F109" s="673"/>
    </row>
    <row r="110" spans="1:6" ht="18.75" customHeight="1">
      <c r="A110" s="251" t="s">
        <v>176</v>
      </c>
      <c r="B110" s="222">
        <v>419238</v>
      </c>
      <c r="C110" s="222">
        <v>419231</v>
      </c>
      <c r="D110" s="252">
        <v>6</v>
      </c>
      <c r="E110" s="670">
        <v>419225</v>
      </c>
      <c r="F110" s="671"/>
    </row>
    <row r="111" spans="1:6" ht="18.75" customHeight="1">
      <c r="A111" s="253" t="s">
        <v>177</v>
      </c>
      <c r="B111" s="226">
        <v>34211348</v>
      </c>
      <c r="C111" s="226">
        <v>34035735</v>
      </c>
      <c r="D111" s="226">
        <v>20359</v>
      </c>
      <c r="E111" s="674">
        <v>34015376</v>
      </c>
      <c r="F111" s="675"/>
    </row>
    <row r="112" spans="1:6" ht="18.75" customHeight="1" thickBot="1">
      <c r="A112" s="254" t="s">
        <v>3</v>
      </c>
      <c r="B112" s="244">
        <f>SUM(B106:B111)</f>
        <v>139299121</v>
      </c>
      <c r="C112" s="244">
        <f>SUM(C106:C111)</f>
        <v>134697041</v>
      </c>
      <c r="D112" s="244">
        <f>SUM(D106:D111)</f>
        <v>624604</v>
      </c>
      <c r="E112" s="676">
        <f>SUM(E106:E111)</f>
        <v>134072437</v>
      </c>
      <c r="F112" s="677">
        <f>SUM(F106:F111)</f>
        <v>0</v>
      </c>
    </row>
    <row r="113" ht="18.75" customHeight="1">
      <c r="A113" s="255"/>
    </row>
  </sheetData>
  <sheetProtection/>
  <mergeCells count="41">
    <mergeCell ref="A3:A4"/>
    <mergeCell ref="B3:B4"/>
    <mergeCell ref="C3:C4"/>
    <mergeCell ref="D3:D4"/>
    <mergeCell ref="E3:F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E107:F107"/>
    <mergeCell ref="A81:A84"/>
    <mergeCell ref="A85:A88"/>
    <mergeCell ref="A89:A92"/>
    <mergeCell ref="A93:A96"/>
    <mergeCell ref="A97:A100"/>
    <mergeCell ref="A104:A105"/>
    <mergeCell ref="E108:F108"/>
    <mergeCell ref="E109:F109"/>
    <mergeCell ref="E110:F110"/>
    <mergeCell ref="E111:F111"/>
    <mergeCell ref="E112:F112"/>
    <mergeCell ref="B104:B105"/>
    <mergeCell ref="C104:C105"/>
    <mergeCell ref="D104:F104"/>
    <mergeCell ref="E105:F105"/>
    <mergeCell ref="E106:F106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2.50390625" defaultRowHeight="22.5" customHeight="1"/>
  <cols>
    <col min="1" max="1" width="23.50390625" style="259" customWidth="1"/>
    <col min="2" max="2" width="12.50390625" style="259" customWidth="1"/>
    <col min="3" max="10" width="12.50390625" style="259" hidden="1" customWidth="1"/>
    <col min="11" max="16" width="0" style="259" hidden="1" customWidth="1"/>
    <col min="17" max="16384" width="12.50390625" style="259" customWidth="1"/>
  </cols>
  <sheetData>
    <row r="1" spans="1:21" ht="23.25" customHeight="1">
      <c r="A1" s="256" t="s">
        <v>178</v>
      </c>
      <c r="B1" s="257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23.25" customHeight="1" thickBot="1">
      <c r="A2" s="258"/>
      <c r="B2" s="258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 t="s">
        <v>179</v>
      </c>
    </row>
    <row r="3" spans="1:21" ht="20.25" customHeight="1">
      <c r="A3" s="261" t="s">
        <v>180</v>
      </c>
      <c r="B3" s="262" t="s">
        <v>60</v>
      </c>
      <c r="C3" s="262" t="s">
        <v>36</v>
      </c>
      <c r="D3" s="262" t="s">
        <v>86</v>
      </c>
      <c r="E3" s="262" t="s">
        <v>37</v>
      </c>
      <c r="F3" s="263" t="s">
        <v>38</v>
      </c>
      <c r="G3" s="263" t="s">
        <v>39</v>
      </c>
      <c r="H3" s="263" t="s">
        <v>40</v>
      </c>
      <c r="I3" s="263" t="s">
        <v>41</v>
      </c>
      <c r="J3" s="262" t="s">
        <v>42</v>
      </c>
      <c r="K3" s="262" t="s">
        <v>162</v>
      </c>
      <c r="L3" s="264" t="s">
        <v>19</v>
      </c>
      <c r="M3" s="264" t="s">
        <v>21</v>
      </c>
      <c r="N3" s="264" t="s">
        <v>133</v>
      </c>
      <c r="O3" s="264" t="s">
        <v>24</v>
      </c>
      <c r="P3" s="265" t="s">
        <v>25</v>
      </c>
      <c r="Q3" s="266" t="s">
        <v>46</v>
      </c>
      <c r="R3" s="266" t="s">
        <v>134</v>
      </c>
      <c r="S3" s="266" t="s">
        <v>27</v>
      </c>
      <c r="T3" s="266" t="s">
        <v>30</v>
      </c>
      <c r="U3" s="267" t="s">
        <v>35</v>
      </c>
    </row>
    <row r="4" spans="1:21" ht="20.25" customHeight="1">
      <c r="A4" s="701" t="s">
        <v>181</v>
      </c>
      <c r="B4" s="268" t="s">
        <v>182</v>
      </c>
      <c r="C4" s="269">
        <v>588167</v>
      </c>
      <c r="D4" s="269">
        <v>600041</v>
      </c>
      <c r="E4" s="269">
        <v>641371</v>
      </c>
      <c r="F4" s="270">
        <v>617789</v>
      </c>
      <c r="G4" s="270">
        <v>627755</v>
      </c>
      <c r="H4" s="270">
        <v>618923</v>
      </c>
      <c r="I4" s="270">
        <v>601729</v>
      </c>
      <c r="J4" s="269">
        <v>518313</v>
      </c>
      <c r="K4" s="269">
        <v>471050</v>
      </c>
      <c r="L4" s="271">
        <v>433011</v>
      </c>
      <c r="M4" s="271">
        <v>442387</v>
      </c>
      <c r="N4" s="272">
        <v>453148</v>
      </c>
      <c r="O4" s="272">
        <v>448909</v>
      </c>
      <c r="P4" s="273">
        <v>438287</v>
      </c>
      <c r="Q4" s="271">
        <v>441634</v>
      </c>
      <c r="R4" s="271">
        <v>455869</v>
      </c>
      <c r="S4" s="271">
        <v>469212</v>
      </c>
      <c r="T4" s="271">
        <v>476423</v>
      </c>
      <c r="U4" s="274">
        <v>440296</v>
      </c>
    </row>
    <row r="5" spans="1:21" ht="20.25" customHeight="1">
      <c r="A5" s="697"/>
      <c r="B5" s="275" t="s">
        <v>4</v>
      </c>
      <c r="C5" s="276">
        <v>100</v>
      </c>
      <c r="D5" s="276">
        <f>ROUND((D4/C4)*100,1)</f>
        <v>102</v>
      </c>
      <c r="E5" s="276">
        <f aca="true" t="shared" si="0" ref="E5:U5">ROUND((E4/D4)*100,1)</f>
        <v>106.9</v>
      </c>
      <c r="F5" s="277">
        <f t="shared" si="0"/>
        <v>96.3</v>
      </c>
      <c r="G5" s="277">
        <f t="shared" si="0"/>
        <v>101.6</v>
      </c>
      <c r="H5" s="277">
        <f t="shared" si="0"/>
        <v>98.6</v>
      </c>
      <c r="I5" s="277">
        <f t="shared" si="0"/>
        <v>97.2</v>
      </c>
      <c r="J5" s="276">
        <f t="shared" si="0"/>
        <v>86.1</v>
      </c>
      <c r="K5" s="276">
        <f t="shared" si="0"/>
        <v>90.9</v>
      </c>
      <c r="L5" s="276">
        <f t="shared" si="0"/>
        <v>91.9</v>
      </c>
      <c r="M5" s="276">
        <f t="shared" si="0"/>
        <v>102.2</v>
      </c>
      <c r="N5" s="278">
        <f t="shared" si="0"/>
        <v>102.4</v>
      </c>
      <c r="O5" s="278">
        <f t="shared" si="0"/>
        <v>99.1</v>
      </c>
      <c r="P5" s="279">
        <f t="shared" si="0"/>
        <v>97.6</v>
      </c>
      <c r="Q5" s="280">
        <f t="shared" si="0"/>
        <v>100.8</v>
      </c>
      <c r="R5" s="280">
        <f t="shared" si="0"/>
        <v>103.2</v>
      </c>
      <c r="S5" s="280">
        <f t="shared" si="0"/>
        <v>102.9</v>
      </c>
      <c r="T5" s="280">
        <f t="shared" si="0"/>
        <v>101.5</v>
      </c>
      <c r="U5" s="281">
        <f t="shared" si="0"/>
        <v>92.4</v>
      </c>
    </row>
    <row r="6" spans="1:21" ht="20.25" customHeight="1">
      <c r="A6" s="697"/>
      <c r="B6" s="275" t="s">
        <v>183</v>
      </c>
      <c r="C6" s="282">
        <v>270657</v>
      </c>
      <c r="D6" s="282">
        <v>285936</v>
      </c>
      <c r="E6" s="282">
        <v>285874</v>
      </c>
      <c r="F6" s="283">
        <v>285266</v>
      </c>
      <c r="G6" s="283">
        <v>293130</v>
      </c>
      <c r="H6" s="283">
        <v>278930</v>
      </c>
      <c r="I6" s="283">
        <v>281897</v>
      </c>
      <c r="J6" s="282">
        <v>248330</v>
      </c>
      <c r="K6" s="272">
        <v>205206</v>
      </c>
      <c r="L6" s="271">
        <v>196276</v>
      </c>
      <c r="M6" s="271">
        <v>200716</v>
      </c>
      <c r="N6" s="282">
        <v>202511</v>
      </c>
      <c r="O6" s="282">
        <v>207442</v>
      </c>
      <c r="P6" s="284">
        <v>207553</v>
      </c>
      <c r="Q6" s="283">
        <v>206194</v>
      </c>
      <c r="R6" s="283">
        <v>220246</v>
      </c>
      <c r="S6" s="283">
        <v>229755</v>
      </c>
      <c r="T6" s="283">
        <v>228687</v>
      </c>
      <c r="U6" s="285">
        <v>222466</v>
      </c>
    </row>
    <row r="7" spans="1:21" ht="20.25" customHeight="1">
      <c r="A7" s="702"/>
      <c r="B7" s="286" t="s">
        <v>4</v>
      </c>
      <c r="C7" s="287">
        <v>106.4</v>
      </c>
      <c r="D7" s="287">
        <f>ROUND((D6/C6)*100,1)</f>
        <v>105.6</v>
      </c>
      <c r="E7" s="287">
        <f aca="true" t="shared" si="1" ref="E7:U7">ROUND((E6/D6)*100,1)</f>
        <v>100</v>
      </c>
      <c r="F7" s="288">
        <f t="shared" si="1"/>
        <v>99.8</v>
      </c>
      <c r="G7" s="288">
        <f t="shared" si="1"/>
        <v>102.8</v>
      </c>
      <c r="H7" s="288">
        <f t="shared" si="1"/>
        <v>95.2</v>
      </c>
      <c r="I7" s="288">
        <f t="shared" si="1"/>
        <v>101.1</v>
      </c>
      <c r="J7" s="287">
        <f t="shared" si="1"/>
        <v>88.1</v>
      </c>
      <c r="K7" s="287">
        <f t="shared" si="1"/>
        <v>82.6</v>
      </c>
      <c r="L7" s="287">
        <f t="shared" si="1"/>
        <v>95.6</v>
      </c>
      <c r="M7" s="287">
        <f t="shared" si="1"/>
        <v>102.3</v>
      </c>
      <c r="N7" s="289">
        <f t="shared" si="1"/>
        <v>100.9</v>
      </c>
      <c r="O7" s="289">
        <f t="shared" si="1"/>
        <v>102.4</v>
      </c>
      <c r="P7" s="290">
        <f t="shared" si="1"/>
        <v>100.1</v>
      </c>
      <c r="Q7" s="291">
        <f t="shared" si="1"/>
        <v>99.3</v>
      </c>
      <c r="R7" s="291">
        <f t="shared" si="1"/>
        <v>106.8</v>
      </c>
      <c r="S7" s="291">
        <f t="shared" si="1"/>
        <v>104.3</v>
      </c>
      <c r="T7" s="291">
        <f t="shared" si="1"/>
        <v>99.5</v>
      </c>
      <c r="U7" s="292">
        <f t="shared" si="1"/>
        <v>97.3</v>
      </c>
    </row>
    <row r="8" spans="1:21" ht="20.25" customHeight="1">
      <c r="A8" s="693" t="s">
        <v>184</v>
      </c>
      <c r="B8" s="293" t="s">
        <v>182</v>
      </c>
      <c r="C8" s="269">
        <v>469393</v>
      </c>
      <c r="D8" s="269">
        <v>453894</v>
      </c>
      <c r="E8" s="269">
        <v>449865</v>
      </c>
      <c r="F8" s="270">
        <v>437065</v>
      </c>
      <c r="G8" s="270">
        <v>401811</v>
      </c>
      <c r="H8" s="270">
        <v>362708</v>
      </c>
      <c r="I8" s="270">
        <v>303714</v>
      </c>
      <c r="J8" s="269">
        <v>247280</v>
      </c>
      <c r="K8" s="269">
        <v>169549</v>
      </c>
      <c r="L8" s="271">
        <v>153237</v>
      </c>
      <c r="M8" s="271">
        <v>112811</v>
      </c>
      <c r="N8" s="272">
        <v>137898</v>
      </c>
      <c r="O8" s="272">
        <v>130132</v>
      </c>
      <c r="P8" s="273">
        <v>147933</v>
      </c>
      <c r="Q8" s="271">
        <v>124027</v>
      </c>
      <c r="R8" s="271">
        <v>123855</v>
      </c>
      <c r="S8" s="271">
        <v>123477</v>
      </c>
      <c r="T8" s="271">
        <v>167498</v>
      </c>
      <c r="U8" s="274">
        <v>168696</v>
      </c>
    </row>
    <row r="9" spans="1:21" ht="20.25" customHeight="1">
      <c r="A9" s="694"/>
      <c r="B9" s="294" t="s">
        <v>4</v>
      </c>
      <c r="C9" s="276">
        <v>95.7</v>
      </c>
      <c r="D9" s="276">
        <f>ROUND((D8/C8)*100,1)</f>
        <v>96.7</v>
      </c>
      <c r="E9" s="276">
        <f aca="true" t="shared" si="2" ref="E9:U9">ROUND((E8/D8)*100,1)</f>
        <v>99.1</v>
      </c>
      <c r="F9" s="277">
        <f t="shared" si="2"/>
        <v>97.2</v>
      </c>
      <c r="G9" s="277">
        <f t="shared" si="2"/>
        <v>91.9</v>
      </c>
      <c r="H9" s="277">
        <f t="shared" si="2"/>
        <v>90.3</v>
      </c>
      <c r="I9" s="277">
        <f t="shared" si="2"/>
        <v>83.7</v>
      </c>
      <c r="J9" s="276">
        <f t="shared" si="2"/>
        <v>81.4</v>
      </c>
      <c r="K9" s="276">
        <f t="shared" si="2"/>
        <v>68.6</v>
      </c>
      <c r="L9" s="276">
        <f t="shared" si="2"/>
        <v>90.4</v>
      </c>
      <c r="M9" s="276">
        <f t="shared" si="2"/>
        <v>73.6</v>
      </c>
      <c r="N9" s="278">
        <f t="shared" si="2"/>
        <v>122.2</v>
      </c>
      <c r="O9" s="278">
        <f t="shared" si="2"/>
        <v>94.4</v>
      </c>
      <c r="P9" s="279">
        <f t="shared" si="2"/>
        <v>113.7</v>
      </c>
      <c r="Q9" s="280">
        <f t="shared" si="2"/>
        <v>83.8</v>
      </c>
      <c r="R9" s="280">
        <f t="shared" si="2"/>
        <v>99.9</v>
      </c>
      <c r="S9" s="280">
        <f t="shared" si="2"/>
        <v>99.7</v>
      </c>
      <c r="T9" s="280">
        <f t="shared" si="2"/>
        <v>135.7</v>
      </c>
      <c r="U9" s="281">
        <f t="shared" si="2"/>
        <v>100.7</v>
      </c>
    </row>
    <row r="10" spans="1:21" ht="20.25" customHeight="1">
      <c r="A10" s="694"/>
      <c r="B10" s="294" t="s">
        <v>183</v>
      </c>
      <c r="C10" s="282">
        <v>270907</v>
      </c>
      <c r="D10" s="282">
        <v>270018</v>
      </c>
      <c r="E10" s="282">
        <v>238635</v>
      </c>
      <c r="F10" s="283">
        <v>238670</v>
      </c>
      <c r="G10" s="283">
        <v>226964</v>
      </c>
      <c r="H10" s="283">
        <v>201914</v>
      </c>
      <c r="I10" s="283">
        <v>174085</v>
      </c>
      <c r="J10" s="282">
        <v>146848</v>
      </c>
      <c r="K10" s="282">
        <v>90747</v>
      </c>
      <c r="L10" s="283">
        <v>91151</v>
      </c>
      <c r="M10" s="283">
        <v>69550</v>
      </c>
      <c r="N10" s="282">
        <v>84011</v>
      </c>
      <c r="O10" s="282">
        <v>82059</v>
      </c>
      <c r="P10" s="284">
        <v>95991</v>
      </c>
      <c r="Q10" s="283">
        <v>78697</v>
      </c>
      <c r="R10" s="283">
        <v>81039</v>
      </c>
      <c r="S10" s="283">
        <v>88404</v>
      </c>
      <c r="T10" s="283">
        <v>114545</v>
      </c>
      <c r="U10" s="285">
        <v>129809</v>
      </c>
    </row>
    <row r="11" spans="1:21" ht="20.25" customHeight="1">
      <c r="A11" s="695"/>
      <c r="B11" s="295" t="s">
        <v>4</v>
      </c>
      <c r="C11" s="287">
        <v>102.6</v>
      </c>
      <c r="D11" s="287">
        <f>ROUND((D10/C10)*100,1)</f>
        <v>99.7</v>
      </c>
      <c r="E11" s="287">
        <f aca="true" t="shared" si="3" ref="E11:U11">ROUND((E10/D10)*100,1)</f>
        <v>88.4</v>
      </c>
      <c r="F11" s="288">
        <f t="shared" si="3"/>
        <v>100</v>
      </c>
      <c r="G11" s="288">
        <f t="shared" si="3"/>
        <v>95.1</v>
      </c>
      <c r="H11" s="288">
        <f t="shared" si="3"/>
        <v>89</v>
      </c>
      <c r="I11" s="288">
        <f t="shared" si="3"/>
        <v>86.2</v>
      </c>
      <c r="J11" s="287">
        <f t="shared" si="3"/>
        <v>84.4</v>
      </c>
      <c r="K11" s="287">
        <f t="shared" si="3"/>
        <v>61.8</v>
      </c>
      <c r="L11" s="287">
        <f t="shared" si="3"/>
        <v>100.4</v>
      </c>
      <c r="M11" s="287">
        <f t="shared" si="3"/>
        <v>76.3</v>
      </c>
      <c r="N11" s="289">
        <f t="shared" si="3"/>
        <v>120.8</v>
      </c>
      <c r="O11" s="289">
        <f t="shared" si="3"/>
        <v>97.7</v>
      </c>
      <c r="P11" s="290">
        <f t="shared" si="3"/>
        <v>117</v>
      </c>
      <c r="Q11" s="291">
        <f t="shared" si="3"/>
        <v>82</v>
      </c>
      <c r="R11" s="291">
        <f t="shared" si="3"/>
        <v>103</v>
      </c>
      <c r="S11" s="291">
        <f t="shared" si="3"/>
        <v>109.1</v>
      </c>
      <c r="T11" s="291">
        <f t="shared" si="3"/>
        <v>129.6</v>
      </c>
      <c r="U11" s="292">
        <f t="shared" si="3"/>
        <v>113.3</v>
      </c>
    </row>
    <row r="12" spans="1:21" ht="20.25" customHeight="1">
      <c r="A12" s="701" t="s">
        <v>185</v>
      </c>
      <c r="B12" s="268" t="s">
        <v>182</v>
      </c>
      <c r="C12" s="269">
        <v>469393</v>
      </c>
      <c r="D12" s="269">
        <v>453894</v>
      </c>
      <c r="E12" s="269">
        <v>449865</v>
      </c>
      <c r="F12" s="296" t="s">
        <v>163</v>
      </c>
      <c r="G12" s="296" t="s">
        <v>163</v>
      </c>
      <c r="H12" s="296" t="s">
        <v>163</v>
      </c>
      <c r="I12" s="270">
        <v>9035</v>
      </c>
      <c r="J12" s="269">
        <v>62744</v>
      </c>
      <c r="K12" s="269">
        <v>126160</v>
      </c>
      <c r="L12" s="271">
        <v>178907</v>
      </c>
      <c r="M12" s="271">
        <v>243065</v>
      </c>
      <c r="N12" s="272">
        <v>300607</v>
      </c>
      <c r="O12" s="272">
        <v>310741</v>
      </c>
      <c r="P12" s="273">
        <v>308204</v>
      </c>
      <c r="Q12" s="271">
        <v>317070</v>
      </c>
      <c r="R12" s="271">
        <v>323521</v>
      </c>
      <c r="S12" s="271">
        <v>321652</v>
      </c>
      <c r="T12" s="271">
        <v>320034</v>
      </c>
      <c r="U12" s="274">
        <v>319876</v>
      </c>
    </row>
    <row r="13" spans="1:21" ht="20.25" customHeight="1">
      <c r="A13" s="697"/>
      <c r="B13" s="275" t="s">
        <v>4</v>
      </c>
      <c r="C13" s="276">
        <v>95.7</v>
      </c>
      <c r="D13" s="276">
        <f>ROUND((D12/C12)*100,1)</f>
        <v>96.7</v>
      </c>
      <c r="E13" s="276">
        <f>ROUND((E12/D12)*100,1)</f>
        <v>99.1</v>
      </c>
      <c r="F13" s="297" t="s">
        <v>163</v>
      </c>
      <c r="G13" s="297" t="s">
        <v>163</v>
      </c>
      <c r="H13" s="297" t="s">
        <v>163</v>
      </c>
      <c r="I13" s="297" t="s">
        <v>164</v>
      </c>
      <c r="J13" s="276">
        <f aca="true" t="shared" si="4" ref="J13:P13">ROUND((J12/I12)*100,1)</f>
        <v>694.5</v>
      </c>
      <c r="K13" s="276">
        <f t="shared" si="4"/>
        <v>201.1</v>
      </c>
      <c r="L13" s="276">
        <f t="shared" si="4"/>
        <v>141.8</v>
      </c>
      <c r="M13" s="276">
        <f t="shared" si="4"/>
        <v>135.9</v>
      </c>
      <c r="N13" s="278">
        <f t="shared" si="4"/>
        <v>123.7</v>
      </c>
      <c r="O13" s="278">
        <f t="shared" si="4"/>
        <v>103.4</v>
      </c>
      <c r="P13" s="279">
        <f t="shared" si="4"/>
        <v>99.2</v>
      </c>
      <c r="Q13" s="280">
        <f>ROUND((Q12/P12)*100,1)</f>
        <v>102.9</v>
      </c>
      <c r="R13" s="280">
        <f>ROUND((R12/Q12)*100,1)</f>
        <v>102</v>
      </c>
      <c r="S13" s="280">
        <f>ROUND((S12/R12)*100,1)</f>
        <v>99.4</v>
      </c>
      <c r="T13" s="280">
        <f>ROUND((T12/S12)*100,1)</f>
        <v>99.5</v>
      </c>
      <c r="U13" s="281">
        <f>ROUND((U12/T12)*100,1)</f>
        <v>100</v>
      </c>
    </row>
    <row r="14" spans="1:21" ht="20.25" customHeight="1">
      <c r="A14" s="697"/>
      <c r="B14" s="275" t="s">
        <v>183</v>
      </c>
      <c r="C14" s="282">
        <v>270907</v>
      </c>
      <c r="D14" s="282">
        <v>270018</v>
      </c>
      <c r="E14" s="282">
        <v>238635</v>
      </c>
      <c r="F14" s="298" t="s">
        <v>163</v>
      </c>
      <c r="G14" s="298" t="s">
        <v>163</v>
      </c>
      <c r="H14" s="298" t="s">
        <v>163</v>
      </c>
      <c r="I14" s="283">
        <v>4601</v>
      </c>
      <c r="J14" s="282">
        <v>31887</v>
      </c>
      <c r="K14" s="282">
        <v>59409</v>
      </c>
      <c r="L14" s="283">
        <v>85209</v>
      </c>
      <c r="M14" s="283">
        <v>116220</v>
      </c>
      <c r="N14" s="282">
        <v>138141</v>
      </c>
      <c r="O14" s="282">
        <v>147431</v>
      </c>
      <c r="P14" s="284">
        <v>151146</v>
      </c>
      <c r="Q14" s="283">
        <v>151479</v>
      </c>
      <c r="R14" s="283">
        <v>160968</v>
      </c>
      <c r="S14" s="283">
        <v>165247</v>
      </c>
      <c r="T14" s="283">
        <v>161241</v>
      </c>
      <c r="U14" s="285">
        <v>167299</v>
      </c>
    </row>
    <row r="15" spans="1:21" ht="20.25" customHeight="1">
      <c r="A15" s="702"/>
      <c r="B15" s="286" t="s">
        <v>4</v>
      </c>
      <c r="C15" s="287">
        <v>102.6</v>
      </c>
      <c r="D15" s="287">
        <f>ROUND((D14/C14)*100,1)</f>
        <v>99.7</v>
      </c>
      <c r="E15" s="287">
        <f>ROUND((E14/D14)*100,1)</f>
        <v>88.4</v>
      </c>
      <c r="F15" s="299" t="s">
        <v>164</v>
      </c>
      <c r="G15" s="299" t="s">
        <v>164</v>
      </c>
      <c r="H15" s="299" t="s">
        <v>164</v>
      </c>
      <c r="I15" s="299" t="s">
        <v>164</v>
      </c>
      <c r="J15" s="287">
        <f aca="true" t="shared" si="5" ref="J15:P15">ROUND((J14/I14)*100,1)</f>
        <v>693</v>
      </c>
      <c r="K15" s="287">
        <f t="shared" si="5"/>
        <v>186.3</v>
      </c>
      <c r="L15" s="287">
        <f t="shared" si="5"/>
        <v>143.4</v>
      </c>
      <c r="M15" s="287">
        <f t="shared" si="5"/>
        <v>136.4</v>
      </c>
      <c r="N15" s="289">
        <f t="shared" si="5"/>
        <v>118.9</v>
      </c>
      <c r="O15" s="289">
        <f t="shared" si="5"/>
        <v>106.7</v>
      </c>
      <c r="P15" s="290">
        <f t="shared" si="5"/>
        <v>102.5</v>
      </c>
      <c r="Q15" s="291">
        <f>ROUND((Q14/P14)*100,1)</f>
        <v>100.2</v>
      </c>
      <c r="R15" s="291">
        <f>ROUND((R14/Q14)*100,1)</f>
        <v>106.3</v>
      </c>
      <c r="S15" s="291">
        <f>ROUND((S14/R14)*100,1)</f>
        <v>102.7</v>
      </c>
      <c r="T15" s="291">
        <f>ROUND((T14/S14)*100,1)</f>
        <v>97.6</v>
      </c>
      <c r="U15" s="292">
        <f>ROUND((U14/T14)*100,1)</f>
        <v>103.8</v>
      </c>
    </row>
    <row r="16" spans="1:21" ht="20.25" customHeight="1">
      <c r="A16" s="701" t="s">
        <v>186</v>
      </c>
      <c r="B16" s="268" t="s">
        <v>182</v>
      </c>
      <c r="C16" s="269">
        <v>469393</v>
      </c>
      <c r="D16" s="269">
        <v>453894</v>
      </c>
      <c r="E16" s="269">
        <v>449865</v>
      </c>
      <c r="F16" s="296" t="s">
        <v>163</v>
      </c>
      <c r="G16" s="296" t="s">
        <v>163</v>
      </c>
      <c r="H16" s="296" t="s">
        <v>163</v>
      </c>
      <c r="I16" s="270">
        <v>238</v>
      </c>
      <c r="J16" s="269">
        <v>1798</v>
      </c>
      <c r="K16" s="269">
        <v>3897</v>
      </c>
      <c r="L16" s="271">
        <v>5653</v>
      </c>
      <c r="M16" s="271">
        <v>6602</v>
      </c>
      <c r="N16" s="272">
        <v>7871</v>
      </c>
      <c r="O16" s="272">
        <v>9137</v>
      </c>
      <c r="P16" s="273">
        <v>10507</v>
      </c>
      <c r="Q16" s="271">
        <v>10131</v>
      </c>
      <c r="R16" s="271">
        <v>9352</v>
      </c>
      <c r="S16" s="271">
        <v>8676</v>
      </c>
      <c r="T16" s="271">
        <v>8322</v>
      </c>
      <c r="U16" s="274">
        <v>8362</v>
      </c>
    </row>
    <row r="17" spans="1:21" ht="20.25" customHeight="1">
      <c r="A17" s="697"/>
      <c r="B17" s="275" t="s">
        <v>4</v>
      </c>
      <c r="C17" s="276">
        <v>95.7</v>
      </c>
      <c r="D17" s="276">
        <f>ROUND((D16/C16)*100,1)</f>
        <v>96.7</v>
      </c>
      <c r="E17" s="276">
        <f>ROUND((E16/D16)*100,1)</f>
        <v>99.1</v>
      </c>
      <c r="F17" s="297" t="s">
        <v>164</v>
      </c>
      <c r="G17" s="297" t="s">
        <v>164</v>
      </c>
      <c r="H17" s="297" t="s">
        <v>164</v>
      </c>
      <c r="I17" s="297" t="s">
        <v>164</v>
      </c>
      <c r="J17" s="276">
        <f aca="true" t="shared" si="6" ref="J17:P17">ROUND((J16/I16)*100,1)</f>
        <v>755.5</v>
      </c>
      <c r="K17" s="276">
        <f t="shared" si="6"/>
        <v>216.7</v>
      </c>
      <c r="L17" s="276">
        <f t="shared" si="6"/>
        <v>145.1</v>
      </c>
      <c r="M17" s="276">
        <f t="shared" si="6"/>
        <v>116.8</v>
      </c>
      <c r="N17" s="278">
        <f t="shared" si="6"/>
        <v>119.2</v>
      </c>
      <c r="O17" s="278">
        <f t="shared" si="6"/>
        <v>116.1</v>
      </c>
      <c r="P17" s="279">
        <f t="shared" si="6"/>
        <v>115</v>
      </c>
      <c r="Q17" s="280">
        <f>ROUND((Q16/P16)*100,1)</f>
        <v>96.4</v>
      </c>
      <c r="R17" s="280">
        <f>ROUND((R16/Q16)*100,1)</f>
        <v>92.3</v>
      </c>
      <c r="S17" s="280">
        <f>ROUND((S16/R16)*100,1)</f>
        <v>92.8</v>
      </c>
      <c r="T17" s="280">
        <f>ROUND((T16/S16)*100,1)</f>
        <v>95.9</v>
      </c>
      <c r="U17" s="281">
        <f>ROUND((U16/T16)*100,1)</f>
        <v>100.5</v>
      </c>
    </row>
    <row r="18" spans="1:21" ht="20.25" customHeight="1">
      <c r="A18" s="697"/>
      <c r="B18" s="275" t="s">
        <v>183</v>
      </c>
      <c r="C18" s="282">
        <v>270907</v>
      </c>
      <c r="D18" s="282">
        <v>270018</v>
      </c>
      <c r="E18" s="282">
        <v>238635</v>
      </c>
      <c r="F18" s="298" t="s">
        <v>163</v>
      </c>
      <c r="G18" s="298" t="s">
        <v>163</v>
      </c>
      <c r="H18" s="298" t="s">
        <v>163</v>
      </c>
      <c r="I18" s="283">
        <v>132</v>
      </c>
      <c r="J18" s="282">
        <v>930</v>
      </c>
      <c r="K18" s="282">
        <v>1932</v>
      </c>
      <c r="L18" s="283">
        <v>2855</v>
      </c>
      <c r="M18" s="283">
        <v>3347</v>
      </c>
      <c r="N18" s="282">
        <v>3747</v>
      </c>
      <c r="O18" s="282">
        <v>4433</v>
      </c>
      <c r="P18" s="284">
        <v>5226</v>
      </c>
      <c r="Q18" s="283">
        <v>4988</v>
      </c>
      <c r="R18" s="283">
        <v>4775</v>
      </c>
      <c r="S18" s="283">
        <v>4553</v>
      </c>
      <c r="T18" s="283">
        <v>4228</v>
      </c>
      <c r="U18" s="285">
        <v>4437</v>
      </c>
    </row>
    <row r="19" spans="1:21" ht="20.25" customHeight="1">
      <c r="A19" s="702"/>
      <c r="B19" s="286" t="s">
        <v>4</v>
      </c>
      <c r="C19" s="287">
        <v>102.6</v>
      </c>
      <c r="D19" s="287">
        <f>ROUND((D18/C18)*100,1)</f>
        <v>99.7</v>
      </c>
      <c r="E19" s="287">
        <f>ROUND((E18/D18)*100,1)</f>
        <v>88.4</v>
      </c>
      <c r="F19" s="299" t="s">
        <v>163</v>
      </c>
      <c r="G19" s="299" t="s">
        <v>164</v>
      </c>
      <c r="H19" s="299" t="s">
        <v>164</v>
      </c>
      <c r="I19" s="299" t="s">
        <v>164</v>
      </c>
      <c r="J19" s="287">
        <f aca="true" t="shared" si="7" ref="J19:P19">ROUND((J18/I18)*100,1)</f>
        <v>704.5</v>
      </c>
      <c r="K19" s="287">
        <f t="shared" si="7"/>
        <v>207.7</v>
      </c>
      <c r="L19" s="287">
        <f t="shared" si="7"/>
        <v>147.8</v>
      </c>
      <c r="M19" s="287">
        <f t="shared" si="7"/>
        <v>117.2</v>
      </c>
      <c r="N19" s="289">
        <f t="shared" si="7"/>
        <v>112</v>
      </c>
      <c r="O19" s="289">
        <f t="shared" si="7"/>
        <v>118.3</v>
      </c>
      <c r="P19" s="290">
        <f t="shared" si="7"/>
        <v>117.9</v>
      </c>
      <c r="Q19" s="291">
        <f>ROUND((Q18/P18)*100,1)</f>
        <v>95.4</v>
      </c>
      <c r="R19" s="291">
        <f>ROUND((R18/Q18)*100,1)</f>
        <v>95.7</v>
      </c>
      <c r="S19" s="291">
        <f>ROUND((S18/R18)*100,1)</f>
        <v>95.4</v>
      </c>
      <c r="T19" s="291">
        <f>ROUND((T18/S18)*100,1)</f>
        <v>92.9</v>
      </c>
      <c r="U19" s="292">
        <f>ROUND((U18/T18)*100,1)</f>
        <v>104.9</v>
      </c>
    </row>
    <row r="20" spans="1:21" ht="20.25" customHeight="1">
      <c r="A20" s="693" t="s">
        <v>187</v>
      </c>
      <c r="B20" s="268" t="s">
        <v>188</v>
      </c>
      <c r="C20" s="300"/>
      <c r="D20" s="300"/>
      <c r="E20" s="300"/>
      <c r="F20" s="301"/>
      <c r="G20" s="301"/>
      <c r="H20" s="301" t="s">
        <v>163</v>
      </c>
      <c r="I20" s="301" t="s">
        <v>163</v>
      </c>
      <c r="J20" s="302" t="s">
        <v>163</v>
      </c>
      <c r="K20" s="302" t="s">
        <v>163</v>
      </c>
      <c r="L20" s="270">
        <v>7393</v>
      </c>
      <c r="M20" s="270">
        <v>7488</v>
      </c>
      <c r="N20" s="269">
        <f>1214+6274</f>
        <v>7488</v>
      </c>
      <c r="O20" s="269">
        <v>7488</v>
      </c>
      <c r="P20" s="303">
        <f>1214+6274</f>
        <v>7488</v>
      </c>
      <c r="Q20" s="296" t="s">
        <v>164</v>
      </c>
      <c r="R20" s="296" t="s">
        <v>164</v>
      </c>
      <c r="S20" s="296" t="s">
        <v>164</v>
      </c>
      <c r="T20" s="296" t="s">
        <v>164</v>
      </c>
      <c r="U20" s="304" t="s">
        <v>164</v>
      </c>
    </row>
    <row r="21" spans="1:21" ht="20.25" customHeight="1">
      <c r="A21" s="698"/>
      <c r="B21" s="275" t="s">
        <v>189</v>
      </c>
      <c r="C21" s="276"/>
      <c r="D21" s="276"/>
      <c r="E21" s="276"/>
      <c r="F21" s="297"/>
      <c r="G21" s="297"/>
      <c r="H21" s="297" t="s">
        <v>163</v>
      </c>
      <c r="I21" s="297" t="s">
        <v>163</v>
      </c>
      <c r="J21" s="305" t="s">
        <v>163</v>
      </c>
      <c r="K21" s="305" t="s">
        <v>163</v>
      </c>
      <c r="L21" s="297" t="s">
        <v>163</v>
      </c>
      <c r="M21" s="277">
        <f>ROUND((M20/L20)*100,1)</f>
        <v>101.3</v>
      </c>
      <c r="N21" s="278">
        <f>ROUND((N20/M20)*100,1)</f>
        <v>100</v>
      </c>
      <c r="O21" s="278">
        <f>ROUND((O20/N20)*100,1)</f>
        <v>100</v>
      </c>
      <c r="P21" s="279">
        <f>ROUND((P20/O20)*100,1)</f>
        <v>100</v>
      </c>
      <c r="Q21" s="306" t="s">
        <v>164</v>
      </c>
      <c r="R21" s="306" t="s">
        <v>164</v>
      </c>
      <c r="S21" s="306" t="s">
        <v>164</v>
      </c>
      <c r="T21" s="306" t="s">
        <v>164</v>
      </c>
      <c r="U21" s="307" t="s">
        <v>164</v>
      </c>
    </row>
    <row r="22" spans="1:21" ht="20.25" customHeight="1">
      <c r="A22" s="698"/>
      <c r="B22" s="275" t="s">
        <v>190</v>
      </c>
      <c r="C22" s="276"/>
      <c r="D22" s="276"/>
      <c r="E22" s="276"/>
      <c r="F22" s="297"/>
      <c r="G22" s="297"/>
      <c r="H22" s="297" t="s">
        <v>163</v>
      </c>
      <c r="I22" s="297" t="s">
        <v>163</v>
      </c>
      <c r="J22" s="305" t="s">
        <v>163</v>
      </c>
      <c r="K22" s="305" t="s">
        <v>163</v>
      </c>
      <c r="L22" s="283">
        <v>2937</v>
      </c>
      <c r="M22" s="283">
        <v>2965</v>
      </c>
      <c r="N22" s="282">
        <f>923+1751</f>
        <v>2674</v>
      </c>
      <c r="O22" s="282">
        <v>2674</v>
      </c>
      <c r="P22" s="284">
        <f>923+1751</f>
        <v>2674</v>
      </c>
      <c r="Q22" s="298" t="s">
        <v>164</v>
      </c>
      <c r="R22" s="298" t="s">
        <v>164</v>
      </c>
      <c r="S22" s="298" t="s">
        <v>164</v>
      </c>
      <c r="T22" s="298" t="s">
        <v>164</v>
      </c>
      <c r="U22" s="308" t="s">
        <v>164</v>
      </c>
    </row>
    <row r="23" spans="1:21" ht="20.25" customHeight="1">
      <c r="A23" s="699"/>
      <c r="B23" s="309" t="s">
        <v>189</v>
      </c>
      <c r="C23" s="310"/>
      <c r="D23" s="310"/>
      <c r="E23" s="310"/>
      <c r="F23" s="311"/>
      <c r="G23" s="311"/>
      <c r="H23" s="311" t="s">
        <v>163</v>
      </c>
      <c r="I23" s="311" t="s">
        <v>163</v>
      </c>
      <c r="J23" s="312" t="s">
        <v>163</v>
      </c>
      <c r="K23" s="312" t="s">
        <v>163</v>
      </c>
      <c r="L23" s="313" t="s">
        <v>163</v>
      </c>
      <c r="M23" s="287">
        <f>ROUND((M22/L22)*100,1)</f>
        <v>101</v>
      </c>
      <c r="N23" s="314">
        <f>ROUND((N22/M22)*100,1)</f>
        <v>90.2</v>
      </c>
      <c r="O23" s="314">
        <f>ROUND((O22/N22)*100,1)</f>
        <v>100</v>
      </c>
      <c r="P23" s="315">
        <f>ROUND((P22/O22)*100,1)</f>
        <v>100</v>
      </c>
      <c r="Q23" s="316" t="s">
        <v>164</v>
      </c>
      <c r="R23" s="316" t="s">
        <v>164</v>
      </c>
      <c r="S23" s="316" t="s">
        <v>164</v>
      </c>
      <c r="T23" s="316" t="s">
        <v>164</v>
      </c>
      <c r="U23" s="317" t="s">
        <v>164</v>
      </c>
    </row>
    <row r="24" spans="1:21" ht="20.25" customHeight="1">
      <c r="A24" s="701" t="s">
        <v>191</v>
      </c>
      <c r="B24" s="268" t="s">
        <v>182</v>
      </c>
      <c r="C24" s="269"/>
      <c r="D24" s="269"/>
      <c r="E24" s="269"/>
      <c r="F24" s="296" t="s">
        <v>163</v>
      </c>
      <c r="G24" s="270">
        <v>8371</v>
      </c>
      <c r="H24" s="270">
        <v>8371</v>
      </c>
      <c r="I24" s="269">
        <v>8371</v>
      </c>
      <c r="J24" s="269">
        <v>8371</v>
      </c>
      <c r="K24" s="269">
        <v>8371</v>
      </c>
      <c r="L24" s="271">
        <v>1977</v>
      </c>
      <c r="M24" s="271">
        <v>5790</v>
      </c>
      <c r="N24" s="318" t="s">
        <v>163</v>
      </c>
      <c r="O24" s="319">
        <v>15428</v>
      </c>
      <c r="P24" s="320">
        <v>4330</v>
      </c>
      <c r="Q24" s="321">
        <v>6441</v>
      </c>
      <c r="R24" s="321">
        <v>7328</v>
      </c>
      <c r="S24" s="321">
        <v>8199</v>
      </c>
      <c r="T24" s="321">
        <v>10063</v>
      </c>
      <c r="U24" s="322">
        <v>13342</v>
      </c>
    </row>
    <row r="25" spans="1:21" ht="20.25" customHeight="1">
      <c r="A25" s="697"/>
      <c r="B25" s="275" t="s">
        <v>4</v>
      </c>
      <c r="C25" s="276"/>
      <c r="D25" s="276"/>
      <c r="E25" s="276"/>
      <c r="F25" s="297" t="s">
        <v>164</v>
      </c>
      <c r="G25" s="297" t="s">
        <v>164</v>
      </c>
      <c r="H25" s="277">
        <f aca="true" t="shared" si="8" ref="H25:M25">ROUND((H24/G24)*100,1)</f>
        <v>100</v>
      </c>
      <c r="I25" s="276">
        <f t="shared" si="8"/>
        <v>100</v>
      </c>
      <c r="J25" s="276">
        <f t="shared" si="8"/>
        <v>100</v>
      </c>
      <c r="K25" s="276">
        <f t="shared" si="8"/>
        <v>100</v>
      </c>
      <c r="L25" s="277">
        <f t="shared" si="8"/>
        <v>23.6</v>
      </c>
      <c r="M25" s="276">
        <f t="shared" si="8"/>
        <v>292.9</v>
      </c>
      <c r="N25" s="323" t="s">
        <v>163</v>
      </c>
      <c r="O25" s="323" t="s">
        <v>163</v>
      </c>
      <c r="P25" s="279">
        <f aca="true" t="shared" si="9" ref="P25:U25">ROUND((P24/O24)*100,1)</f>
        <v>28.1</v>
      </c>
      <c r="Q25" s="280">
        <f t="shared" si="9"/>
        <v>148.8</v>
      </c>
      <c r="R25" s="280">
        <f t="shared" si="9"/>
        <v>113.8</v>
      </c>
      <c r="S25" s="280">
        <f t="shared" si="9"/>
        <v>111.9</v>
      </c>
      <c r="T25" s="280">
        <f t="shared" si="9"/>
        <v>122.7</v>
      </c>
      <c r="U25" s="281">
        <f t="shared" si="9"/>
        <v>132.6</v>
      </c>
    </row>
    <row r="26" spans="1:21" ht="20.25" customHeight="1">
      <c r="A26" s="697"/>
      <c r="B26" s="275" t="s">
        <v>183</v>
      </c>
      <c r="C26" s="282"/>
      <c r="D26" s="282"/>
      <c r="E26" s="282"/>
      <c r="F26" s="298" t="s">
        <v>163</v>
      </c>
      <c r="G26" s="283">
        <v>6882</v>
      </c>
      <c r="H26" s="283">
        <v>6710</v>
      </c>
      <c r="I26" s="282">
        <v>6710</v>
      </c>
      <c r="J26" s="282">
        <v>6710</v>
      </c>
      <c r="K26" s="282">
        <v>5861</v>
      </c>
      <c r="L26" s="283">
        <v>1553</v>
      </c>
      <c r="M26" s="283">
        <v>4392</v>
      </c>
      <c r="N26" s="324" t="s">
        <v>163</v>
      </c>
      <c r="O26" s="325">
        <v>10087</v>
      </c>
      <c r="P26" s="326">
        <v>1997</v>
      </c>
      <c r="Q26" s="327">
        <v>3070</v>
      </c>
      <c r="R26" s="327">
        <v>3563</v>
      </c>
      <c r="S26" s="327">
        <v>4011</v>
      </c>
      <c r="T26" s="327">
        <v>5478</v>
      </c>
      <c r="U26" s="328">
        <v>8156</v>
      </c>
    </row>
    <row r="27" spans="1:21" ht="20.25" customHeight="1">
      <c r="A27" s="702"/>
      <c r="B27" s="286" t="s">
        <v>4</v>
      </c>
      <c r="C27" s="287"/>
      <c r="D27" s="287"/>
      <c r="E27" s="287"/>
      <c r="F27" s="299" t="s">
        <v>163</v>
      </c>
      <c r="G27" s="299" t="s">
        <v>163</v>
      </c>
      <c r="H27" s="288">
        <f aca="true" t="shared" si="10" ref="H27:M27">ROUND((H26/G26)*100,1)</f>
        <v>97.5</v>
      </c>
      <c r="I27" s="287">
        <f t="shared" si="10"/>
        <v>100</v>
      </c>
      <c r="J27" s="287">
        <f t="shared" si="10"/>
        <v>100</v>
      </c>
      <c r="K27" s="287">
        <f t="shared" si="10"/>
        <v>87.3</v>
      </c>
      <c r="L27" s="287">
        <f t="shared" si="10"/>
        <v>26.5</v>
      </c>
      <c r="M27" s="287">
        <f t="shared" si="10"/>
        <v>282.8</v>
      </c>
      <c r="N27" s="329" t="s">
        <v>163</v>
      </c>
      <c r="O27" s="329" t="s">
        <v>163</v>
      </c>
      <c r="P27" s="291">
        <f aca="true" t="shared" si="11" ref="P27:U27">ROUND((P26/O26)*100,1)</f>
        <v>19.8</v>
      </c>
      <c r="Q27" s="291">
        <f t="shared" si="11"/>
        <v>153.7</v>
      </c>
      <c r="R27" s="291">
        <f t="shared" si="11"/>
        <v>116.1</v>
      </c>
      <c r="S27" s="291">
        <f t="shared" si="11"/>
        <v>112.6</v>
      </c>
      <c r="T27" s="291">
        <f t="shared" si="11"/>
        <v>136.6</v>
      </c>
      <c r="U27" s="292">
        <f t="shared" si="11"/>
        <v>148.9</v>
      </c>
    </row>
    <row r="28" spans="1:21" ht="20.25" customHeight="1">
      <c r="A28" s="693" t="s">
        <v>192</v>
      </c>
      <c r="B28" s="293" t="s">
        <v>182</v>
      </c>
      <c r="C28" s="269"/>
      <c r="D28" s="269"/>
      <c r="E28" s="269">
        <v>1377</v>
      </c>
      <c r="F28" s="330">
        <v>392</v>
      </c>
      <c r="G28" s="270">
        <v>713</v>
      </c>
      <c r="H28" s="270">
        <v>1131</v>
      </c>
      <c r="I28" s="269">
        <v>1292</v>
      </c>
      <c r="J28" s="269">
        <v>1460</v>
      </c>
      <c r="K28" s="269">
        <v>1311</v>
      </c>
      <c r="L28" s="271">
        <v>1584</v>
      </c>
      <c r="M28" s="271">
        <v>2040</v>
      </c>
      <c r="N28" s="272">
        <v>1231</v>
      </c>
      <c r="O28" s="272">
        <v>630</v>
      </c>
      <c r="P28" s="273">
        <v>1012</v>
      </c>
      <c r="Q28" s="271">
        <v>1347</v>
      </c>
      <c r="R28" s="271">
        <v>796</v>
      </c>
      <c r="S28" s="271">
        <v>604</v>
      </c>
      <c r="T28" s="271">
        <v>560</v>
      </c>
      <c r="U28" s="331" t="s">
        <v>163</v>
      </c>
    </row>
    <row r="29" spans="1:21" ht="20.25" customHeight="1">
      <c r="A29" s="694"/>
      <c r="B29" s="294" t="s">
        <v>4</v>
      </c>
      <c r="C29" s="276"/>
      <c r="D29" s="276"/>
      <c r="E29" s="276"/>
      <c r="F29" s="277">
        <f aca="true" t="shared" si="12" ref="F29:S29">ROUND((F28/E28)*100,1)</f>
        <v>28.5</v>
      </c>
      <c r="G29" s="277">
        <f t="shared" si="12"/>
        <v>181.9</v>
      </c>
      <c r="H29" s="277">
        <f t="shared" si="12"/>
        <v>158.6</v>
      </c>
      <c r="I29" s="276">
        <f t="shared" si="12"/>
        <v>114.2</v>
      </c>
      <c r="J29" s="276">
        <f t="shared" si="12"/>
        <v>113</v>
      </c>
      <c r="K29" s="276">
        <f t="shared" si="12"/>
        <v>89.8</v>
      </c>
      <c r="L29" s="276">
        <f t="shared" si="12"/>
        <v>120.8</v>
      </c>
      <c r="M29" s="276">
        <f t="shared" si="12"/>
        <v>128.8</v>
      </c>
      <c r="N29" s="278">
        <f t="shared" si="12"/>
        <v>60.3</v>
      </c>
      <c r="O29" s="278">
        <f t="shared" si="12"/>
        <v>51.2</v>
      </c>
      <c r="P29" s="279">
        <f t="shared" si="12"/>
        <v>160.6</v>
      </c>
      <c r="Q29" s="280">
        <f t="shared" si="12"/>
        <v>133.1</v>
      </c>
      <c r="R29" s="280">
        <f t="shared" si="12"/>
        <v>59.1</v>
      </c>
      <c r="S29" s="280">
        <f t="shared" si="12"/>
        <v>75.9</v>
      </c>
      <c r="T29" s="280">
        <f>ROUND((T28/S28)*100,1)</f>
        <v>92.7</v>
      </c>
      <c r="U29" s="307" t="s">
        <v>163</v>
      </c>
    </row>
    <row r="30" spans="1:21" ht="20.25" customHeight="1">
      <c r="A30" s="694"/>
      <c r="B30" s="294" t="s">
        <v>183</v>
      </c>
      <c r="C30" s="282"/>
      <c r="D30" s="282"/>
      <c r="E30" s="282">
        <v>890</v>
      </c>
      <c r="F30" s="327">
        <v>26</v>
      </c>
      <c r="G30" s="283">
        <v>42</v>
      </c>
      <c r="H30" s="283">
        <v>78</v>
      </c>
      <c r="I30" s="282">
        <v>93</v>
      </c>
      <c r="J30" s="282">
        <v>123</v>
      </c>
      <c r="K30" s="282">
        <v>104</v>
      </c>
      <c r="L30" s="283">
        <v>133</v>
      </c>
      <c r="M30" s="283">
        <v>201</v>
      </c>
      <c r="N30" s="282">
        <v>86</v>
      </c>
      <c r="O30" s="282">
        <v>64</v>
      </c>
      <c r="P30" s="284">
        <v>96</v>
      </c>
      <c r="Q30" s="283">
        <v>121</v>
      </c>
      <c r="R30" s="283">
        <v>69</v>
      </c>
      <c r="S30" s="283">
        <v>60</v>
      </c>
      <c r="T30" s="283">
        <v>61</v>
      </c>
      <c r="U30" s="308" t="s">
        <v>163</v>
      </c>
    </row>
    <row r="31" spans="1:21" ht="20.25" customHeight="1">
      <c r="A31" s="695"/>
      <c r="B31" s="295" t="s">
        <v>4</v>
      </c>
      <c r="C31" s="287"/>
      <c r="D31" s="287"/>
      <c r="E31" s="287"/>
      <c r="F31" s="288">
        <f aca="true" t="shared" si="13" ref="F31:S31">ROUND((F30/E30)*100,1)</f>
        <v>2.9</v>
      </c>
      <c r="G31" s="288">
        <f t="shared" si="13"/>
        <v>161.5</v>
      </c>
      <c r="H31" s="288">
        <f t="shared" si="13"/>
        <v>185.7</v>
      </c>
      <c r="I31" s="287">
        <f t="shared" si="13"/>
        <v>119.2</v>
      </c>
      <c r="J31" s="287">
        <f t="shared" si="13"/>
        <v>132.3</v>
      </c>
      <c r="K31" s="287">
        <f t="shared" si="13"/>
        <v>84.6</v>
      </c>
      <c r="L31" s="287">
        <f t="shared" si="13"/>
        <v>127.9</v>
      </c>
      <c r="M31" s="287">
        <f t="shared" si="13"/>
        <v>151.1</v>
      </c>
      <c r="N31" s="289">
        <f t="shared" si="13"/>
        <v>42.8</v>
      </c>
      <c r="O31" s="289">
        <f t="shared" si="13"/>
        <v>74.4</v>
      </c>
      <c r="P31" s="290">
        <f t="shared" si="13"/>
        <v>150</v>
      </c>
      <c r="Q31" s="291">
        <f t="shared" si="13"/>
        <v>126</v>
      </c>
      <c r="R31" s="291">
        <f t="shared" si="13"/>
        <v>57</v>
      </c>
      <c r="S31" s="291">
        <f t="shared" si="13"/>
        <v>87</v>
      </c>
      <c r="T31" s="291">
        <f>ROUND((T30/S30)*100,1)</f>
        <v>101.7</v>
      </c>
      <c r="U31" s="332" t="s">
        <v>163</v>
      </c>
    </row>
    <row r="32" spans="1:21" ht="20.25" customHeight="1">
      <c r="A32" s="693" t="s">
        <v>193</v>
      </c>
      <c r="B32" s="268" t="s">
        <v>182</v>
      </c>
      <c r="C32" s="269"/>
      <c r="D32" s="269"/>
      <c r="E32" s="269"/>
      <c r="F32" s="296" t="s">
        <v>163</v>
      </c>
      <c r="G32" s="270">
        <v>626</v>
      </c>
      <c r="H32" s="270">
        <v>400</v>
      </c>
      <c r="I32" s="269">
        <v>700</v>
      </c>
      <c r="J32" s="269">
        <v>800</v>
      </c>
      <c r="K32" s="269">
        <v>688</v>
      </c>
      <c r="L32" s="271">
        <v>300</v>
      </c>
      <c r="M32" s="271">
        <v>586</v>
      </c>
      <c r="N32" s="272">
        <v>391</v>
      </c>
      <c r="O32" s="318" t="s">
        <v>163</v>
      </c>
      <c r="P32" s="333" t="s">
        <v>163</v>
      </c>
      <c r="Q32" s="321">
        <v>300</v>
      </c>
      <c r="R32" s="321">
        <v>600</v>
      </c>
      <c r="S32" s="334" t="s">
        <v>163</v>
      </c>
      <c r="T32" s="330">
        <v>570</v>
      </c>
      <c r="U32" s="335">
        <v>107</v>
      </c>
    </row>
    <row r="33" spans="1:21" ht="20.25" customHeight="1">
      <c r="A33" s="694"/>
      <c r="B33" s="275" t="s">
        <v>4</v>
      </c>
      <c r="C33" s="276"/>
      <c r="D33" s="276"/>
      <c r="E33" s="276"/>
      <c r="F33" s="297" t="s">
        <v>163</v>
      </c>
      <c r="G33" s="297" t="s">
        <v>163</v>
      </c>
      <c r="H33" s="277">
        <f aca="true" t="shared" si="14" ref="H33:M33">ROUND((H32/G32)*100,1)</f>
        <v>63.9</v>
      </c>
      <c r="I33" s="277">
        <f t="shared" si="14"/>
        <v>175</v>
      </c>
      <c r="J33" s="276">
        <f t="shared" si="14"/>
        <v>114.3</v>
      </c>
      <c r="K33" s="276">
        <f t="shared" si="14"/>
        <v>86</v>
      </c>
      <c r="L33" s="276">
        <f t="shared" si="14"/>
        <v>43.6</v>
      </c>
      <c r="M33" s="276">
        <f t="shared" si="14"/>
        <v>195.3</v>
      </c>
      <c r="N33" s="278">
        <f>ROUND((N32/M32)*100,1)</f>
        <v>66.7</v>
      </c>
      <c r="O33" s="323" t="s">
        <v>163</v>
      </c>
      <c r="P33" s="336" t="s">
        <v>163</v>
      </c>
      <c r="Q33" s="306" t="s">
        <v>163</v>
      </c>
      <c r="R33" s="306" t="s">
        <v>163</v>
      </c>
      <c r="S33" s="306" t="s">
        <v>163</v>
      </c>
      <c r="T33" s="306" t="s">
        <v>164</v>
      </c>
      <c r="U33" s="337">
        <f>ROUND((U32/T32)*100,1)</f>
        <v>18.8</v>
      </c>
    </row>
    <row r="34" spans="1:21" ht="20.25" customHeight="1">
      <c r="A34" s="694"/>
      <c r="B34" s="275" t="s">
        <v>183</v>
      </c>
      <c r="C34" s="282"/>
      <c r="D34" s="282"/>
      <c r="E34" s="282"/>
      <c r="F34" s="298" t="s">
        <v>163</v>
      </c>
      <c r="G34" s="283">
        <v>48</v>
      </c>
      <c r="H34" s="283">
        <v>54</v>
      </c>
      <c r="I34" s="283">
        <v>68</v>
      </c>
      <c r="J34" s="282">
        <v>99</v>
      </c>
      <c r="K34" s="282">
        <v>47</v>
      </c>
      <c r="L34" s="283">
        <v>36</v>
      </c>
      <c r="M34" s="283">
        <v>59</v>
      </c>
      <c r="N34" s="282">
        <v>48</v>
      </c>
      <c r="O34" s="324" t="s">
        <v>163</v>
      </c>
      <c r="P34" s="338" t="s">
        <v>163</v>
      </c>
      <c r="Q34" s="327">
        <v>21</v>
      </c>
      <c r="R34" s="327">
        <v>52</v>
      </c>
      <c r="S34" s="298" t="s">
        <v>163</v>
      </c>
      <c r="T34" s="327">
        <v>50</v>
      </c>
      <c r="U34" s="328">
        <v>2</v>
      </c>
    </row>
    <row r="35" spans="1:21" ht="20.25" customHeight="1">
      <c r="A35" s="695"/>
      <c r="B35" s="286" t="s">
        <v>4</v>
      </c>
      <c r="C35" s="287"/>
      <c r="D35" s="287"/>
      <c r="E35" s="287"/>
      <c r="F35" s="299" t="s">
        <v>163</v>
      </c>
      <c r="G35" s="299" t="s">
        <v>163</v>
      </c>
      <c r="H35" s="288">
        <f aca="true" t="shared" si="15" ref="H35:M35">ROUND((H34/G34)*100,1)</f>
        <v>112.5</v>
      </c>
      <c r="I35" s="288">
        <f t="shared" si="15"/>
        <v>125.9</v>
      </c>
      <c r="J35" s="287">
        <f t="shared" si="15"/>
        <v>145.6</v>
      </c>
      <c r="K35" s="287">
        <f t="shared" si="15"/>
        <v>47.5</v>
      </c>
      <c r="L35" s="287">
        <f t="shared" si="15"/>
        <v>76.6</v>
      </c>
      <c r="M35" s="287">
        <f t="shared" si="15"/>
        <v>163.9</v>
      </c>
      <c r="N35" s="289">
        <f>ROUND((N34/M34)*100,1)</f>
        <v>81.4</v>
      </c>
      <c r="O35" s="329" t="s">
        <v>163</v>
      </c>
      <c r="P35" s="339" t="s">
        <v>163</v>
      </c>
      <c r="Q35" s="340" t="s">
        <v>163</v>
      </c>
      <c r="R35" s="340" t="s">
        <v>163</v>
      </c>
      <c r="S35" s="340" t="s">
        <v>163</v>
      </c>
      <c r="T35" s="316" t="s">
        <v>164</v>
      </c>
      <c r="U35" s="341">
        <f>ROUND((U34/T34)*100,1)</f>
        <v>4</v>
      </c>
    </row>
    <row r="36" spans="1:21" ht="20.25" customHeight="1">
      <c r="A36" s="693" t="s">
        <v>194</v>
      </c>
      <c r="B36" s="268" t="s">
        <v>182</v>
      </c>
      <c r="C36" s="269"/>
      <c r="D36" s="269"/>
      <c r="E36" s="269"/>
      <c r="F36" s="296" t="s">
        <v>163</v>
      </c>
      <c r="G36" s="270">
        <v>626</v>
      </c>
      <c r="H36" s="270">
        <v>400</v>
      </c>
      <c r="I36" s="269">
        <v>700</v>
      </c>
      <c r="J36" s="269">
        <v>800</v>
      </c>
      <c r="K36" s="269">
        <v>688</v>
      </c>
      <c r="L36" s="271">
        <v>300</v>
      </c>
      <c r="M36" s="271">
        <v>586</v>
      </c>
      <c r="N36" s="272">
        <v>391</v>
      </c>
      <c r="O36" s="318" t="s">
        <v>163</v>
      </c>
      <c r="P36" s="333" t="s">
        <v>163</v>
      </c>
      <c r="Q36" s="334" t="s">
        <v>164</v>
      </c>
      <c r="R36" s="334" t="s">
        <v>164</v>
      </c>
      <c r="S36" s="334" t="s">
        <v>163</v>
      </c>
      <c r="T36" s="296" t="s">
        <v>164</v>
      </c>
      <c r="U36" s="335">
        <v>400</v>
      </c>
    </row>
    <row r="37" spans="1:21" ht="20.25" customHeight="1">
      <c r="A37" s="694"/>
      <c r="B37" s="275" t="s">
        <v>4</v>
      </c>
      <c r="C37" s="276"/>
      <c r="D37" s="276"/>
      <c r="E37" s="276"/>
      <c r="F37" s="297" t="s">
        <v>163</v>
      </c>
      <c r="G37" s="297" t="s">
        <v>163</v>
      </c>
      <c r="H37" s="277">
        <f aca="true" t="shared" si="16" ref="H37:N37">ROUND((H36/G36)*100,1)</f>
        <v>63.9</v>
      </c>
      <c r="I37" s="277">
        <f t="shared" si="16"/>
        <v>175</v>
      </c>
      <c r="J37" s="276">
        <f t="shared" si="16"/>
        <v>114.3</v>
      </c>
      <c r="K37" s="276">
        <f t="shared" si="16"/>
        <v>86</v>
      </c>
      <c r="L37" s="276">
        <f t="shared" si="16"/>
        <v>43.6</v>
      </c>
      <c r="M37" s="276">
        <f t="shared" si="16"/>
        <v>195.3</v>
      </c>
      <c r="N37" s="278">
        <f t="shared" si="16"/>
        <v>66.7</v>
      </c>
      <c r="O37" s="323" t="s">
        <v>163</v>
      </c>
      <c r="P37" s="336" t="s">
        <v>163</v>
      </c>
      <c r="Q37" s="306" t="s">
        <v>163</v>
      </c>
      <c r="R37" s="306" t="s">
        <v>163</v>
      </c>
      <c r="S37" s="306" t="s">
        <v>163</v>
      </c>
      <c r="T37" s="306" t="s">
        <v>164</v>
      </c>
      <c r="U37" s="307" t="s">
        <v>164</v>
      </c>
    </row>
    <row r="38" spans="1:21" ht="20.25" customHeight="1">
      <c r="A38" s="694"/>
      <c r="B38" s="275" t="s">
        <v>183</v>
      </c>
      <c r="C38" s="282"/>
      <c r="D38" s="282"/>
      <c r="E38" s="282"/>
      <c r="F38" s="298" t="s">
        <v>163</v>
      </c>
      <c r="G38" s="283">
        <v>48</v>
      </c>
      <c r="H38" s="283">
        <v>54</v>
      </c>
      <c r="I38" s="283">
        <v>68</v>
      </c>
      <c r="J38" s="282">
        <v>99</v>
      </c>
      <c r="K38" s="282">
        <v>47</v>
      </c>
      <c r="L38" s="283">
        <v>36</v>
      </c>
      <c r="M38" s="283">
        <v>59</v>
      </c>
      <c r="N38" s="282">
        <v>48</v>
      </c>
      <c r="O38" s="324" t="s">
        <v>163</v>
      </c>
      <c r="P38" s="338" t="s">
        <v>163</v>
      </c>
      <c r="Q38" s="298" t="s">
        <v>164</v>
      </c>
      <c r="R38" s="298" t="s">
        <v>164</v>
      </c>
      <c r="S38" s="298" t="s">
        <v>163</v>
      </c>
      <c r="T38" s="298" t="s">
        <v>164</v>
      </c>
      <c r="U38" s="328">
        <v>33</v>
      </c>
    </row>
    <row r="39" spans="1:21" ht="20.25" customHeight="1">
      <c r="A39" s="695"/>
      <c r="B39" s="286" t="s">
        <v>4</v>
      </c>
      <c r="C39" s="287"/>
      <c r="D39" s="287"/>
      <c r="E39" s="287"/>
      <c r="F39" s="299" t="s">
        <v>163</v>
      </c>
      <c r="G39" s="299" t="s">
        <v>163</v>
      </c>
      <c r="H39" s="288">
        <f aca="true" t="shared" si="17" ref="H39:N39">ROUND((H38/G38)*100,1)</f>
        <v>112.5</v>
      </c>
      <c r="I39" s="288">
        <f t="shared" si="17"/>
        <v>125.9</v>
      </c>
      <c r="J39" s="287">
        <f t="shared" si="17"/>
        <v>145.6</v>
      </c>
      <c r="K39" s="287">
        <f t="shared" si="17"/>
        <v>47.5</v>
      </c>
      <c r="L39" s="287">
        <f t="shared" si="17"/>
        <v>76.6</v>
      </c>
      <c r="M39" s="287">
        <f t="shared" si="17"/>
        <v>163.9</v>
      </c>
      <c r="N39" s="289">
        <f t="shared" si="17"/>
        <v>81.4</v>
      </c>
      <c r="O39" s="329" t="s">
        <v>163</v>
      </c>
      <c r="P39" s="339" t="s">
        <v>163</v>
      </c>
      <c r="Q39" s="340" t="s">
        <v>163</v>
      </c>
      <c r="R39" s="340" t="s">
        <v>163</v>
      </c>
      <c r="S39" s="340" t="s">
        <v>163</v>
      </c>
      <c r="T39" s="316" t="s">
        <v>164</v>
      </c>
      <c r="U39" s="317" t="s">
        <v>164</v>
      </c>
    </row>
    <row r="40" spans="1:21" ht="20.25" customHeight="1">
      <c r="A40" s="696" t="s">
        <v>195</v>
      </c>
      <c r="B40" s="342" t="s">
        <v>182</v>
      </c>
      <c r="C40" s="272"/>
      <c r="D40" s="272"/>
      <c r="E40" s="272"/>
      <c r="F40" s="334" t="s">
        <v>163</v>
      </c>
      <c r="G40" s="334" t="s">
        <v>163</v>
      </c>
      <c r="H40" s="271">
        <v>480</v>
      </c>
      <c r="I40" s="271">
        <v>1412</v>
      </c>
      <c r="J40" s="272">
        <v>1252</v>
      </c>
      <c r="K40" s="272">
        <v>238</v>
      </c>
      <c r="L40" s="271">
        <v>440</v>
      </c>
      <c r="M40" s="271">
        <v>96</v>
      </c>
      <c r="N40" s="272">
        <v>120</v>
      </c>
      <c r="O40" s="272">
        <v>295</v>
      </c>
      <c r="P40" s="273">
        <v>480</v>
      </c>
      <c r="Q40" s="271">
        <v>120</v>
      </c>
      <c r="R40" s="271">
        <v>88</v>
      </c>
      <c r="S40" s="334" t="s">
        <v>163</v>
      </c>
      <c r="T40" s="296" t="s">
        <v>164</v>
      </c>
      <c r="U40" s="304" t="s">
        <v>164</v>
      </c>
    </row>
    <row r="41" spans="1:21" ht="20.25" customHeight="1">
      <c r="A41" s="697"/>
      <c r="B41" s="275" t="s">
        <v>4</v>
      </c>
      <c r="C41" s="276"/>
      <c r="D41" s="276"/>
      <c r="E41" s="276"/>
      <c r="F41" s="297" t="s">
        <v>163</v>
      </c>
      <c r="G41" s="297" t="s">
        <v>163</v>
      </c>
      <c r="H41" s="297" t="s">
        <v>163</v>
      </c>
      <c r="I41" s="277">
        <f aca="true" t="shared" si="18" ref="I41:R41">ROUND((I40/H40)*100,1)</f>
        <v>294.2</v>
      </c>
      <c r="J41" s="276">
        <f t="shared" si="18"/>
        <v>88.7</v>
      </c>
      <c r="K41" s="276">
        <f t="shared" si="18"/>
        <v>19</v>
      </c>
      <c r="L41" s="276">
        <f t="shared" si="18"/>
        <v>184.9</v>
      </c>
      <c r="M41" s="276">
        <f t="shared" si="18"/>
        <v>21.8</v>
      </c>
      <c r="N41" s="278">
        <f t="shared" si="18"/>
        <v>125</v>
      </c>
      <c r="O41" s="278">
        <f>ROUND((O40/N40)*100,1)</f>
        <v>245.8</v>
      </c>
      <c r="P41" s="279">
        <f>ROUND((P40/O40)*100,1)</f>
        <v>162.7</v>
      </c>
      <c r="Q41" s="280">
        <f t="shared" si="18"/>
        <v>25</v>
      </c>
      <c r="R41" s="280">
        <f t="shared" si="18"/>
        <v>73.3</v>
      </c>
      <c r="S41" s="306" t="s">
        <v>163</v>
      </c>
      <c r="T41" s="306" t="s">
        <v>164</v>
      </c>
      <c r="U41" s="307" t="s">
        <v>164</v>
      </c>
    </row>
    <row r="42" spans="1:21" ht="20.25" customHeight="1">
      <c r="A42" s="697"/>
      <c r="B42" s="275" t="s">
        <v>183</v>
      </c>
      <c r="C42" s="282"/>
      <c r="D42" s="282"/>
      <c r="E42" s="282"/>
      <c r="F42" s="298" t="s">
        <v>163</v>
      </c>
      <c r="G42" s="298" t="s">
        <v>163</v>
      </c>
      <c r="H42" s="283">
        <v>38</v>
      </c>
      <c r="I42" s="283">
        <v>200</v>
      </c>
      <c r="J42" s="282">
        <v>210</v>
      </c>
      <c r="K42" s="282">
        <v>23</v>
      </c>
      <c r="L42" s="283">
        <v>43</v>
      </c>
      <c r="M42" s="283">
        <v>11</v>
      </c>
      <c r="N42" s="282">
        <v>32</v>
      </c>
      <c r="O42" s="282">
        <v>37</v>
      </c>
      <c r="P42" s="284">
        <v>53</v>
      </c>
      <c r="Q42" s="283">
        <v>23</v>
      </c>
      <c r="R42" s="283">
        <v>27</v>
      </c>
      <c r="S42" s="298" t="s">
        <v>163</v>
      </c>
      <c r="T42" s="298" t="s">
        <v>164</v>
      </c>
      <c r="U42" s="308" t="s">
        <v>164</v>
      </c>
    </row>
    <row r="43" spans="1:21" ht="20.25" customHeight="1">
      <c r="A43" s="697"/>
      <c r="B43" s="343" t="s">
        <v>4</v>
      </c>
      <c r="C43" s="344"/>
      <c r="D43" s="344"/>
      <c r="E43" s="344"/>
      <c r="F43" s="345" t="s">
        <v>163</v>
      </c>
      <c r="G43" s="345" t="s">
        <v>163</v>
      </c>
      <c r="H43" s="345" t="s">
        <v>163</v>
      </c>
      <c r="I43" s="346">
        <f aca="true" t="shared" si="19" ref="I43:R43">ROUND((I42/H42)*100,1)</f>
        <v>526.3</v>
      </c>
      <c r="J43" s="344">
        <f t="shared" si="19"/>
        <v>105</v>
      </c>
      <c r="K43" s="344">
        <f t="shared" si="19"/>
        <v>11</v>
      </c>
      <c r="L43" s="344">
        <f t="shared" si="19"/>
        <v>187</v>
      </c>
      <c r="M43" s="344">
        <f t="shared" si="19"/>
        <v>25.6</v>
      </c>
      <c r="N43" s="347">
        <f>ROUND((N42/M42)*100,1)</f>
        <v>290.9</v>
      </c>
      <c r="O43" s="347">
        <f>ROUND((O42/N42)*100,1)</f>
        <v>115.6</v>
      </c>
      <c r="P43" s="348">
        <f>ROUND((P42/O42)*100,1)</f>
        <v>143.2</v>
      </c>
      <c r="Q43" s="349">
        <f t="shared" si="19"/>
        <v>43.4</v>
      </c>
      <c r="R43" s="349">
        <f t="shared" si="19"/>
        <v>117.4</v>
      </c>
      <c r="S43" s="350" t="s">
        <v>163</v>
      </c>
      <c r="T43" s="316" t="s">
        <v>164</v>
      </c>
      <c r="U43" s="317" t="s">
        <v>164</v>
      </c>
    </row>
    <row r="44" spans="1:21" ht="20.25" customHeight="1">
      <c r="A44" s="693" t="s">
        <v>196</v>
      </c>
      <c r="B44" s="268" t="s">
        <v>188</v>
      </c>
      <c r="C44" s="300"/>
      <c r="D44" s="300"/>
      <c r="E44" s="300"/>
      <c r="F44" s="301"/>
      <c r="G44" s="301"/>
      <c r="H44" s="301"/>
      <c r="I44" s="301"/>
      <c r="J44" s="302" t="s">
        <v>163</v>
      </c>
      <c r="K44" s="302" t="s">
        <v>163</v>
      </c>
      <c r="L44" s="302" t="s">
        <v>163</v>
      </c>
      <c r="M44" s="302" t="s">
        <v>163</v>
      </c>
      <c r="N44" s="269">
        <v>12970</v>
      </c>
      <c r="O44" s="351" t="s">
        <v>163</v>
      </c>
      <c r="P44" s="352">
        <v>12970</v>
      </c>
      <c r="Q44" s="330">
        <v>10274</v>
      </c>
      <c r="R44" s="330">
        <v>7180</v>
      </c>
      <c r="S44" s="296" t="s">
        <v>163</v>
      </c>
      <c r="T44" s="296" t="s">
        <v>164</v>
      </c>
      <c r="U44" s="304" t="s">
        <v>164</v>
      </c>
    </row>
    <row r="45" spans="1:21" ht="20.25" customHeight="1">
      <c r="A45" s="698"/>
      <c r="B45" s="275" t="s">
        <v>189</v>
      </c>
      <c r="C45" s="276"/>
      <c r="D45" s="276"/>
      <c r="E45" s="276"/>
      <c r="F45" s="297"/>
      <c r="G45" s="297"/>
      <c r="H45" s="297"/>
      <c r="I45" s="297"/>
      <c r="J45" s="305" t="s">
        <v>163</v>
      </c>
      <c r="K45" s="305" t="s">
        <v>163</v>
      </c>
      <c r="L45" s="297" t="s">
        <v>163</v>
      </c>
      <c r="M45" s="297" t="s">
        <v>163</v>
      </c>
      <c r="N45" s="305" t="s">
        <v>163</v>
      </c>
      <c r="O45" s="305" t="s">
        <v>163</v>
      </c>
      <c r="P45" s="353" t="s">
        <v>163</v>
      </c>
      <c r="Q45" s="280">
        <f>ROUND((Q44/P44)*100,1)</f>
        <v>79.2</v>
      </c>
      <c r="R45" s="280">
        <f>ROUND((R44/Q44)*100,1)</f>
        <v>69.9</v>
      </c>
      <c r="S45" s="306" t="s">
        <v>163</v>
      </c>
      <c r="T45" s="306" t="s">
        <v>164</v>
      </c>
      <c r="U45" s="307" t="s">
        <v>164</v>
      </c>
    </row>
    <row r="46" spans="1:21" ht="20.25" customHeight="1">
      <c r="A46" s="698"/>
      <c r="B46" s="275" t="s">
        <v>190</v>
      </c>
      <c r="C46" s="276"/>
      <c r="D46" s="276"/>
      <c r="E46" s="276"/>
      <c r="F46" s="297"/>
      <c r="G46" s="297"/>
      <c r="H46" s="297"/>
      <c r="I46" s="297"/>
      <c r="J46" s="305" t="s">
        <v>163</v>
      </c>
      <c r="K46" s="305" t="s">
        <v>163</v>
      </c>
      <c r="L46" s="305" t="s">
        <v>163</v>
      </c>
      <c r="M46" s="305" t="s">
        <v>163</v>
      </c>
      <c r="N46" s="282">
        <v>8917</v>
      </c>
      <c r="O46" s="324" t="s">
        <v>163</v>
      </c>
      <c r="P46" s="326">
        <v>8916</v>
      </c>
      <c r="Q46" s="327">
        <v>6443</v>
      </c>
      <c r="R46" s="327">
        <v>4305</v>
      </c>
      <c r="S46" s="298" t="s">
        <v>163</v>
      </c>
      <c r="T46" s="298" t="s">
        <v>164</v>
      </c>
      <c r="U46" s="308" t="s">
        <v>164</v>
      </c>
    </row>
    <row r="47" spans="1:21" ht="20.25" customHeight="1">
      <c r="A47" s="699"/>
      <c r="B47" s="354" t="s">
        <v>189</v>
      </c>
      <c r="C47" s="355"/>
      <c r="D47" s="355"/>
      <c r="E47" s="355"/>
      <c r="F47" s="356"/>
      <c r="G47" s="356"/>
      <c r="H47" s="356"/>
      <c r="I47" s="356"/>
      <c r="J47" s="357" t="s">
        <v>163</v>
      </c>
      <c r="K47" s="357" t="s">
        <v>163</v>
      </c>
      <c r="L47" s="313" t="s">
        <v>163</v>
      </c>
      <c r="M47" s="313" t="s">
        <v>163</v>
      </c>
      <c r="N47" s="313" t="s">
        <v>163</v>
      </c>
      <c r="O47" s="313" t="s">
        <v>163</v>
      </c>
      <c r="P47" s="358" t="s">
        <v>163</v>
      </c>
      <c r="Q47" s="291">
        <f>ROUND((Q46/P46)*100,1)</f>
        <v>72.3</v>
      </c>
      <c r="R47" s="291">
        <f>ROUND((R46/Q46)*100,1)</f>
        <v>66.8</v>
      </c>
      <c r="S47" s="340" t="s">
        <v>163</v>
      </c>
      <c r="T47" s="316" t="s">
        <v>164</v>
      </c>
      <c r="U47" s="317" t="s">
        <v>164</v>
      </c>
    </row>
    <row r="48" spans="1:21" ht="20.25" customHeight="1">
      <c r="A48" s="698" t="s">
        <v>197</v>
      </c>
      <c r="B48" s="342" t="s">
        <v>188</v>
      </c>
      <c r="C48" s="359"/>
      <c r="D48" s="359"/>
      <c r="E48" s="359"/>
      <c r="F48" s="360"/>
      <c r="G48" s="360"/>
      <c r="H48" s="360"/>
      <c r="I48" s="360"/>
      <c r="J48" s="361"/>
      <c r="K48" s="361" t="s">
        <v>163</v>
      </c>
      <c r="L48" s="361" t="s">
        <v>163</v>
      </c>
      <c r="M48" s="361" t="s">
        <v>163</v>
      </c>
      <c r="N48" s="361" t="s">
        <v>163</v>
      </c>
      <c r="O48" s="362">
        <v>1575</v>
      </c>
      <c r="P48" s="320">
        <v>200</v>
      </c>
      <c r="Q48" s="334" t="s">
        <v>164</v>
      </c>
      <c r="R48" s="334" t="s">
        <v>164</v>
      </c>
      <c r="S48" s="334" t="s">
        <v>164</v>
      </c>
      <c r="T48" s="296" t="s">
        <v>164</v>
      </c>
      <c r="U48" s="304" t="s">
        <v>164</v>
      </c>
    </row>
    <row r="49" spans="1:21" ht="20.25" customHeight="1">
      <c r="A49" s="698"/>
      <c r="B49" s="275" t="s">
        <v>189</v>
      </c>
      <c r="C49" s="276"/>
      <c r="D49" s="276"/>
      <c r="E49" s="276"/>
      <c r="F49" s="297"/>
      <c r="G49" s="297"/>
      <c r="H49" s="297"/>
      <c r="I49" s="297"/>
      <c r="J49" s="305"/>
      <c r="K49" s="305" t="s">
        <v>163</v>
      </c>
      <c r="L49" s="297" t="s">
        <v>163</v>
      </c>
      <c r="M49" s="297" t="s">
        <v>163</v>
      </c>
      <c r="N49" s="305" t="s">
        <v>163</v>
      </c>
      <c r="O49" s="305" t="s">
        <v>163</v>
      </c>
      <c r="P49" s="279">
        <f>ROUND((P48/O48)*100,1)</f>
        <v>12.7</v>
      </c>
      <c r="Q49" s="306" t="s">
        <v>164</v>
      </c>
      <c r="R49" s="306" t="s">
        <v>164</v>
      </c>
      <c r="S49" s="306" t="s">
        <v>164</v>
      </c>
      <c r="T49" s="306" t="s">
        <v>164</v>
      </c>
      <c r="U49" s="307" t="s">
        <v>164</v>
      </c>
    </row>
    <row r="50" spans="1:21" ht="20.25" customHeight="1">
      <c r="A50" s="698"/>
      <c r="B50" s="275" t="s">
        <v>190</v>
      </c>
      <c r="C50" s="276"/>
      <c r="D50" s="276"/>
      <c r="E50" s="276"/>
      <c r="F50" s="297"/>
      <c r="G50" s="297"/>
      <c r="H50" s="297"/>
      <c r="I50" s="297"/>
      <c r="J50" s="305"/>
      <c r="K50" s="305" t="s">
        <v>163</v>
      </c>
      <c r="L50" s="305" t="s">
        <v>163</v>
      </c>
      <c r="M50" s="305" t="s">
        <v>163</v>
      </c>
      <c r="N50" s="305" t="s">
        <v>163</v>
      </c>
      <c r="O50" s="325">
        <v>147</v>
      </c>
      <c r="P50" s="326">
        <v>14</v>
      </c>
      <c r="Q50" s="298" t="s">
        <v>164</v>
      </c>
      <c r="R50" s="298" t="s">
        <v>164</v>
      </c>
      <c r="S50" s="298" t="s">
        <v>164</v>
      </c>
      <c r="T50" s="298" t="s">
        <v>164</v>
      </c>
      <c r="U50" s="308" t="s">
        <v>164</v>
      </c>
    </row>
    <row r="51" spans="1:21" ht="20.25" customHeight="1" thickBot="1">
      <c r="A51" s="700"/>
      <c r="B51" s="363" t="s">
        <v>189</v>
      </c>
      <c r="C51" s="364"/>
      <c r="D51" s="364"/>
      <c r="E51" s="364"/>
      <c r="F51" s="365"/>
      <c r="G51" s="365"/>
      <c r="H51" s="365"/>
      <c r="I51" s="365"/>
      <c r="J51" s="366"/>
      <c r="K51" s="366" t="s">
        <v>163</v>
      </c>
      <c r="L51" s="367" t="s">
        <v>163</v>
      </c>
      <c r="M51" s="367" t="s">
        <v>163</v>
      </c>
      <c r="N51" s="367" t="s">
        <v>163</v>
      </c>
      <c r="O51" s="367" t="s">
        <v>163</v>
      </c>
      <c r="P51" s="368">
        <f>ROUND((P50/O50)*100,1)</f>
        <v>9.5</v>
      </c>
      <c r="Q51" s="369" t="s">
        <v>164</v>
      </c>
      <c r="R51" s="369" t="s">
        <v>164</v>
      </c>
      <c r="S51" s="369" t="s">
        <v>164</v>
      </c>
      <c r="T51" s="369" t="s">
        <v>164</v>
      </c>
      <c r="U51" s="370" t="s">
        <v>164</v>
      </c>
    </row>
    <row r="52" spans="1:21" ht="21.75" customHeight="1">
      <c r="A52" s="258" t="s">
        <v>198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</row>
  </sheetData>
  <sheetProtection/>
  <mergeCells count="12"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21" customHeight="1"/>
  <cols>
    <col min="1" max="1" width="20.50390625" style="372" customWidth="1"/>
    <col min="2" max="2" width="27.50390625" style="372" customWidth="1"/>
    <col min="3" max="3" width="11.875" style="372" hidden="1" customWidth="1"/>
    <col min="4" max="4" width="12.125" style="372" hidden="1" customWidth="1"/>
    <col min="5" max="5" width="9.875" style="372" hidden="1" customWidth="1"/>
    <col min="6" max="6" width="10.375" style="372" hidden="1" customWidth="1"/>
    <col min="7" max="20" width="12.00390625" style="372" hidden="1" customWidth="1"/>
    <col min="21" max="30" width="13.625" style="372" hidden="1" customWidth="1"/>
    <col min="31" max="40" width="13.625" style="372" customWidth="1"/>
    <col min="41" max="41" width="9.00390625" style="372" customWidth="1"/>
    <col min="42" max="16384" width="9.00390625" style="372" customWidth="1"/>
  </cols>
  <sheetData>
    <row r="1" spans="1:40" ht="24.75" customHeight="1">
      <c r="A1" s="4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</row>
    <row r="2" spans="1:40" ht="24.75" customHeight="1">
      <c r="A2" s="373" t="s">
        <v>199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</row>
    <row r="3" spans="1:40" ht="24.75" customHeight="1" thickBot="1">
      <c r="A3" s="371" t="s">
        <v>200</v>
      </c>
      <c r="B3" s="371"/>
      <c r="C3" s="371"/>
      <c r="D3" s="374"/>
      <c r="E3" s="371"/>
      <c r="F3" s="374"/>
      <c r="G3" s="371"/>
      <c r="H3" s="374"/>
      <c r="I3" s="374"/>
      <c r="J3" s="374"/>
      <c r="K3" s="371"/>
      <c r="L3" s="374"/>
      <c r="M3" s="371"/>
      <c r="N3" s="374"/>
      <c r="O3" s="371"/>
      <c r="P3" s="374"/>
      <c r="Q3" s="371"/>
      <c r="R3" s="374"/>
      <c r="S3" s="371"/>
      <c r="T3" s="374"/>
      <c r="U3" s="371"/>
      <c r="V3" s="374"/>
      <c r="W3" s="374"/>
      <c r="X3" s="374"/>
      <c r="Y3" s="371"/>
      <c r="Z3" s="374"/>
      <c r="AA3" s="371"/>
      <c r="AB3" s="374"/>
      <c r="AC3" s="371"/>
      <c r="AD3" s="374"/>
      <c r="AE3" s="371"/>
      <c r="AF3" s="374"/>
      <c r="AG3" s="371"/>
      <c r="AH3" s="374"/>
      <c r="AI3" s="371"/>
      <c r="AJ3" s="374"/>
      <c r="AK3" s="371"/>
      <c r="AL3" s="374"/>
      <c r="AM3" s="371"/>
      <c r="AN3" s="374" t="s">
        <v>49</v>
      </c>
    </row>
    <row r="4" spans="1:40" ht="27.75" customHeight="1">
      <c r="A4" s="706" t="s">
        <v>201</v>
      </c>
      <c r="B4" s="707"/>
      <c r="C4" s="668" t="s">
        <v>36</v>
      </c>
      <c r="D4" s="668"/>
      <c r="E4" s="668" t="s">
        <v>86</v>
      </c>
      <c r="F4" s="668"/>
      <c r="G4" s="620" t="s">
        <v>37</v>
      </c>
      <c r="H4" s="620"/>
      <c r="I4" s="668" t="s">
        <v>38</v>
      </c>
      <c r="J4" s="668"/>
      <c r="K4" s="668" t="s">
        <v>39</v>
      </c>
      <c r="L4" s="668"/>
      <c r="M4" s="668" t="s">
        <v>40</v>
      </c>
      <c r="N4" s="668"/>
      <c r="O4" s="668" t="s">
        <v>41</v>
      </c>
      <c r="P4" s="703"/>
      <c r="Q4" s="668" t="s">
        <v>42</v>
      </c>
      <c r="R4" s="703"/>
      <c r="S4" s="668" t="s">
        <v>162</v>
      </c>
      <c r="T4" s="668"/>
      <c r="U4" s="703" t="s">
        <v>19</v>
      </c>
      <c r="V4" s="704"/>
      <c r="W4" s="703" t="s">
        <v>132</v>
      </c>
      <c r="X4" s="620"/>
      <c r="Y4" s="703" t="s">
        <v>133</v>
      </c>
      <c r="Z4" s="620"/>
      <c r="AA4" s="704" t="s">
        <v>24</v>
      </c>
      <c r="AB4" s="704"/>
      <c r="AC4" s="703" t="s">
        <v>25</v>
      </c>
      <c r="AD4" s="704"/>
      <c r="AE4" s="703" t="s">
        <v>46</v>
      </c>
      <c r="AF4" s="704"/>
      <c r="AG4" s="703" t="s">
        <v>134</v>
      </c>
      <c r="AH4" s="620"/>
      <c r="AI4" s="703" t="s">
        <v>27</v>
      </c>
      <c r="AJ4" s="620"/>
      <c r="AK4" s="703" t="s">
        <v>30</v>
      </c>
      <c r="AL4" s="704"/>
      <c r="AM4" s="703" t="s">
        <v>35</v>
      </c>
      <c r="AN4" s="705"/>
    </row>
    <row r="5" spans="1:40" ht="27.75" customHeight="1">
      <c r="A5" s="708"/>
      <c r="B5" s="709"/>
      <c r="C5" s="375" t="s">
        <v>155</v>
      </c>
      <c r="D5" s="375" t="s">
        <v>75</v>
      </c>
      <c r="E5" s="375" t="s">
        <v>155</v>
      </c>
      <c r="F5" s="375" t="s">
        <v>75</v>
      </c>
      <c r="G5" s="376" t="s">
        <v>155</v>
      </c>
      <c r="H5" s="376" t="s">
        <v>75</v>
      </c>
      <c r="I5" s="375" t="s">
        <v>155</v>
      </c>
      <c r="J5" s="375" t="s">
        <v>75</v>
      </c>
      <c r="K5" s="375" t="s">
        <v>155</v>
      </c>
      <c r="L5" s="375" t="s">
        <v>75</v>
      </c>
      <c r="M5" s="375" t="s">
        <v>155</v>
      </c>
      <c r="N5" s="375" t="s">
        <v>75</v>
      </c>
      <c r="O5" s="375" t="s">
        <v>155</v>
      </c>
      <c r="P5" s="377" t="s">
        <v>75</v>
      </c>
      <c r="Q5" s="375" t="s">
        <v>155</v>
      </c>
      <c r="R5" s="377" t="s">
        <v>75</v>
      </c>
      <c r="S5" s="375" t="s">
        <v>155</v>
      </c>
      <c r="T5" s="375" t="s">
        <v>75</v>
      </c>
      <c r="U5" s="376" t="s">
        <v>202</v>
      </c>
      <c r="V5" s="378" t="s">
        <v>203</v>
      </c>
      <c r="W5" s="375" t="s">
        <v>202</v>
      </c>
      <c r="X5" s="376" t="s">
        <v>203</v>
      </c>
      <c r="Y5" s="375" t="s">
        <v>202</v>
      </c>
      <c r="Z5" s="376" t="s">
        <v>203</v>
      </c>
      <c r="AA5" s="376" t="s">
        <v>202</v>
      </c>
      <c r="AB5" s="378" t="s">
        <v>203</v>
      </c>
      <c r="AC5" s="375" t="s">
        <v>202</v>
      </c>
      <c r="AD5" s="378" t="s">
        <v>203</v>
      </c>
      <c r="AE5" s="375" t="s">
        <v>202</v>
      </c>
      <c r="AF5" s="378" t="s">
        <v>203</v>
      </c>
      <c r="AG5" s="375" t="s">
        <v>202</v>
      </c>
      <c r="AH5" s="376" t="s">
        <v>203</v>
      </c>
      <c r="AI5" s="375" t="s">
        <v>202</v>
      </c>
      <c r="AJ5" s="376" t="s">
        <v>203</v>
      </c>
      <c r="AK5" s="375" t="s">
        <v>202</v>
      </c>
      <c r="AL5" s="378" t="s">
        <v>203</v>
      </c>
      <c r="AM5" s="375" t="s">
        <v>202</v>
      </c>
      <c r="AN5" s="379" t="s">
        <v>203</v>
      </c>
    </row>
    <row r="6" spans="1:40" ht="27.75" customHeight="1">
      <c r="A6" s="380" t="s">
        <v>204</v>
      </c>
      <c r="B6" s="381" t="s">
        <v>205</v>
      </c>
      <c r="C6" s="99">
        <v>337484</v>
      </c>
      <c r="D6" s="99">
        <v>117221</v>
      </c>
      <c r="E6" s="99">
        <v>308906</v>
      </c>
      <c r="F6" s="99">
        <v>108117</v>
      </c>
      <c r="G6" s="382">
        <v>289064</v>
      </c>
      <c r="H6" s="382">
        <v>101172</v>
      </c>
      <c r="I6" s="99">
        <v>273902</v>
      </c>
      <c r="J6" s="99">
        <v>95866</v>
      </c>
      <c r="K6" s="99">
        <v>272902</v>
      </c>
      <c r="L6" s="99">
        <v>95516</v>
      </c>
      <c r="M6" s="99">
        <v>236270</v>
      </c>
      <c r="N6" s="99">
        <v>82426</v>
      </c>
      <c r="O6" s="99">
        <v>230416</v>
      </c>
      <c r="P6" s="101">
        <v>80645</v>
      </c>
      <c r="Q6" s="99">
        <v>217800</v>
      </c>
      <c r="R6" s="101">
        <v>76230</v>
      </c>
      <c r="S6" s="99">
        <v>207636</v>
      </c>
      <c r="T6" s="99">
        <v>72672</v>
      </c>
      <c r="U6" s="382">
        <v>200454</v>
      </c>
      <c r="V6" s="100">
        <v>70159</v>
      </c>
      <c r="W6" s="189">
        <v>193270</v>
      </c>
      <c r="X6" s="383">
        <v>67645</v>
      </c>
      <c r="Y6" s="189">
        <v>190488</v>
      </c>
      <c r="Z6" s="383">
        <v>66670</v>
      </c>
      <c r="AA6" s="383">
        <v>188516</v>
      </c>
      <c r="AB6" s="111">
        <v>65981</v>
      </c>
      <c r="AC6" s="189">
        <v>187510</v>
      </c>
      <c r="AD6" s="111">
        <v>65628</v>
      </c>
      <c r="AE6" s="189">
        <v>188620</v>
      </c>
      <c r="AF6" s="111">
        <v>66017</v>
      </c>
      <c r="AG6" s="189">
        <v>187414</v>
      </c>
      <c r="AH6" s="383">
        <v>65595</v>
      </c>
      <c r="AI6" s="189">
        <v>187222</v>
      </c>
      <c r="AJ6" s="383">
        <v>65528</v>
      </c>
      <c r="AK6" s="189">
        <v>185182</v>
      </c>
      <c r="AL6" s="111">
        <v>64814</v>
      </c>
      <c r="AM6" s="189">
        <v>184234</v>
      </c>
      <c r="AN6" s="384">
        <v>64482</v>
      </c>
    </row>
    <row r="7" spans="1:40" ht="27.75" customHeight="1">
      <c r="A7" s="385" t="s">
        <v>206</v>
      </c>
      <c r="B7" s="386" t="s">
        <v>207</v>
      </c>
      <c r="C7" s="387">
        <v>0</v>
      </c>
      <c r="D7" s="387">
        <v>0</v>
      </c>
      <c r="E7" s="387">
        <v>0</v>
      </c>
      <c r="F7" s="387">
        <v>0</v>
      </c>
      <c r="G7" s="388">
        <v>0</v>
      </c>
      <c r="H7" s="388">
        <v>0</v>
      </c>
      <c r="I7" s="388">
        <v>0</v>
      </c>
      <c r="J7" s="388">
        <v>0</v>
      </c>
      <c r="K7" s="388">
        <v>0</v>
      </c>
      <c r="L7" s="388">
        <v>0</v>
      </c>
      <c r="M7" s="388">
        <v>0</v>
      </c>
      <c r="N7" s="388">
        <v>0</v>
      </c>
      <c r="O7" s="387">
        <v>0</v>
      </c>
      <c r="P7" s="389">
        <v>0</v>
      </c>
      <c r="Q7" s="387">
        <v>0</v>
      </c>
      <c r="R7" s="389">
        <v>0</v>
      </c>
      <c r="S7" s="387">
        <v>0</v>
      </c>
      <c r="T7" s="387">
        <v>0</v>
      </c>
      <c r="U7" s="388" t="s">
        <v>163</v>
      </c>
      <c r="V7" s="390" t="s">
        <v>163</v>
      </c>
      <c r="W7" s="391" t="s">
        <v>164</v>
      </c>
      <c r="X7" s="392" t="s">
        <v>163</v>
      </c>
      <c r="Y7" s="391">
        <v>38630</v>
      </c>
      <c r="Z7" s="392">
        <v>13520</v>
      </c>
      <c r="AA7" s="392">
        <v>36956</v>
      </c>
      <c r="AB7" s="393">
        <v>12934</v>
      </c>
      <c r="AC7" s="391">
        <v>36854</v>
      </c>
      <c r="AD7" s="393">
        <v>12899</v>
      </c>
      <c r="AE7" s="391">
        <v>35950</v>
      </c>
      <c r="AF7" s="393">
        <v>12583</v>
      </c>
      <c r="AG7" s="391">
        <v>35910</v>
      </c>
      <c r="AH7" s="392">
        <v>12569</v>
      </c>
      <c r="AI7" s="391">
        <v>35820</v>
      </c>
      <c r="AJ7" s="392">
        <v>12537</v>
      </c>
      <c r="AK7" s="391">
        <v>35110</v>
      </c>
      <c r="AL7" s="393">
        <v>12289</v>
      </c>
      <c r="AM7" s="391">
        <v>34654</v>
      </c>
      <c r="AN7" s="394">
        <v>12129</v>
      </c>
    </row>
    <row r="8" spans="1:40" ht="27.75" customHeight="1">
      <c r="A8" s="395" t="s">
        <v>208</v>
      </c>
      <c r="B8" s="396" t="s">
        <v>209</v>
      </c>
      <c r="C8" s="387">
        <v>0</v>
      </c>
      <c r="D8" s="387">
        <v>0</v>
      </c>
      <c r="E8" s="387">
        <v>0</v>
      </c>
      <c r="F8" s="387">
        <v>0</v>
      </c>
      <c r="G8" s="388">
        <v>0</v>
      </c>
      <c r="H8" s="388">
        <v>0</v>
      </c>
      <c r="I8" s="388">
        <v>0</v>
      </c>
      <c r="J8" s="388">
        <v>0</v>
      </c>
      <c r="K8" s="387">
        <v>796440</v>
      </c>
      <c r="L8" s="387">
        <v>278754</v>
      </c>
      <c r="M8" s="387">
        <v>793652</v>
      </c>
      <c r="N8" s="387">
        <v>277352</v>
      </c>
      <c r="O8" s="387">
        <v>777516</v>
      </c>
      <c r="P8" s="389">
        <v>272087</v>
      </c>
      <c r="Q8" s="387">
        <v>749976</v>
      </c>
      <c r="R8" s="389">
        <v>262449</v>
      </c>
      <c r="S8" s="387">
        <v>722048</v>
      </c>
      <c r="T8" s="387">
        <v>252716</v>
      </c>
      <c r="U8" s="388">
        <v>752257</v>
      </c>
      <c r="V8" s="390">
        <v>315948</v>
      </c>
      <c r="W8" s="107">
        <v>881470</v>
      </c>
      <c r="X8" s="397">
        <v>370217</v>
      </c>
      <c r="Y8" s="107">
        <v>890217</v>
      </c>
      <c r="Z8" s="397">
        <v>365310</v>
      </c>
      <c r="AA8" s="397">
        <v>882543</v>
      </c>
      <c r="AB8" s="108">
        <v>483585</v>
      </c>
      <c r="AC8" s="107">
        <v>890409</v>
      </c>
      <c r="AD8" s="108">
        <v>488472</v>
      </c>
      <c r="AE8" s="107">
        <v>870244</v>
      </c>
      <c r="AF8" s="108">
        <v>507643</v>
      </c>
      <c r="AG8" s="107">
        <v>868637</v>
      </c>
      <c r="AH8" s="397">
        <v>506705</v>
      </c>
      <c r="AI8" s="391" t="s">
        <v>163</v>
      </c>
      <c r="AJ8" s="392" t="s">
        <v>163</v>
      </c>
      <c r="AK8" s="391" t="s">
        <v>164</v>
      </c>
      <c r="AL8" s="393" t="s">
        <v>164</v>
      </c>
      <c r="AM8" s="391" t="s">
        <v>164</v>
      </c>
      <c r="AN8" s="394" t="s">
        <v>164</v>
      </c>
    </row>
    <row r="9" spans="1:40" ht="27.75" customHeight="1" hidden="1">
      <c r="A9" s="385" t="s">
        <v>210</v>
      </c>
      <c r="B9" s="386" t="s">
        <v>211</v>
      </c>
      <c r="C9" s="387">
        <v>0</v>
      </c>
      <c r="D9" s="387">
        <v>0</v>
      </c>
      <c r="E9" s="387">
        <v>0</v>
      </c>
      <c r="F9" s="387">
        <v>0</v>
      </c>
      <c r="G9" s="388">
        <v>0</v>
      </c>
      <c r="H9" s="388">
        <v>0</v>
      </c>
      <c r="I9" s="388">
        <v>0</v>
      </c>
      <c r="J9" s="388">
        <v>0</v>
      </c>
      <c r="K9" s="387">
        <v>87024</v>
      </c>
      <c r="L9" s="387">
        <v>30458</v>
      </c>
      <c r="M9" s="387">
        <v>112410</v>
      </c>
      <c r="N9" s="387">
        <v>39344</v>
      </c>
      <c r="O9" s="387">
        <v>0</v>
      </c>
      <c r="P9" s="389">
        <v>0</v>
      </c>
      <c r="Q9" s="387">
        <v>0</v>
      </c>
      <c r="R9" s="389">
        <v>0</v>
      </c>
      <c r="S9" s="387">
        <v>0</v>
      </c>
      <c r="T9" s="387">
        <v>0</v>
      </c>
      <c r="U9" s="388" t="s">
        <v>163</v>
      </c>
      <c r="V9" s="390" t="s">
        <v>163</v>
      </c>
      <c r="W9" s="391" t="s">
        <v>164</v>
      </c>
      <c r="X9" s="392" t="s">
        <v>163</v>
      </c>
      <c r="Y9" s="391" t="s">
        <v>164</v>
      </c>
      <c r="Z9" s="392" t="s">
        <v>163</v>
      </c>
      <c r="AA9" s="392" t="s">
        <v>164</v>
      </c>
      <c r="AB9" s="393" t="s">
        <v>163</v>
      </c>
      <c r="AC9" s="391" t="s">
        <v>164</v>
      </c>
      <c r="AD9" s="393" t="s">
        <v>163</v>
      </c>
      <c r="AE9" s="391" t="s">
        <v>164</v>
      </c>
      <c r="AF9" s="393" t="s">
        <v>163</v>
      </c>
      <c r="AG9" s="391" t="s">
        <v>164</v>
      </c>
      <c r="AH9" s="392" t="s">
        <v>163</v>
      </c>
      <c r="AI9" s="391"/>
      <c r="AJ9" s="392"/>
      <c r="AK9" s="391"/>
      <c r="AL9" s="393"/>
      <c r="AM9" s="391"/>
      <c r="AN9" s="394"/>
    </row>
    <row r="10" spans="1:40" ht="27.75" customHeight="1">
      <c r="A10" s="385" t="s">
        <v>212</v>
      </c>
      <c r="B10" s="398" t="s">
        <v>213</v>
      </c>
      <c r="C10" s="387">
        <v>0</v>
      </c>
      <c r="D10" s="387">
        <v>0</v>
      </c>
      <c r="E10" s="387">
        <v>0</v>
      </c>
      <c r="F10" s="387">
        <v>0</v>
      </c>
      <c r="G10" s="388">
        <v>0</v>
      </c>
      <c r="H10" s="388">
        <v>0</v>
      </c>
      <c r="I10" s="388">
        <v>0</v>
      </c>
      <c r="J10" s="388">
        <v>0</v>
      </c>
      <c r="K10" s="388">
        <v>0</v>
      </c>
      <c r="L10" s="388">
        <v>0</v>
      </c>
      <c r="M10" s="388">
        <v>0</v>
      </c>
      <c r="N10" s="388">
        <v>0</v>
      </c>
      <c r="O10" s="387">
        <v>0</v>
      </c>
      <c r="P10" s="389">
        <v>0</v>
      </c>
      <c r="Q10" s="387">
        <v>0</v>
      </c>
      <c r="R10" s="389">
        <v>0</v>
      </c>
      <c r="S10" s="387">
        <v>0</v>
      </c>
      <c r="T10" s="387">
        <v>0</v>
      </c>
      <c r="U10" s="388" t="s">
        <v>163</v>
      </c>
      <c r="V10" s="390" t="s">
        <v>163</v>
      </c>
      <c r="W10" s="391" t="s">
        <v>164</v>
      </c>
      <c r="X10" s="392" t="s">
        <v>163</v>
      </c>
      <c r="Y10" s="391" t="s">
        <v>164</v>
      </c>
      <c r="Z10" s="392" t="s">
        <v>163</v>
      </c>
      <c r="AA10" s="392" t="s">
        <v>164</v>
      </c>
      <c r="AB10" s="393" t="s">
        <v>163</v>
      </c>
      <c r="AC10" s="391">
        <v>3568</v>
      </c>
      <c r="AD10" s="393">
        <v>1784</v>
      </c>
      <c r="AE10" s="391">
        <v>7450</v>
      </c>
      <c r="AF10" s="393">
        <v>3725</v>
      </c>
      <c r="AG10" s="391">
        <v>8746</v>
      </c>
      <c r="AH10" s="392">
        <v>4373</v>
      </c>
      <c r="AI10" s="391">
        <v>5822</v>
      </c>
      <c r="AJ10" s="392">
        <v>2911</v>
      </c>
      <c r="AK10" s="391">
        <v>9112</v>
      </c>
      <c r="AL10" s="393">
        <v>4556</v>
      </c>
      <c r="AM10" s="391">
        <f>25276+136</f>
        <v>25412</v>
      </c>
      <c r="AN10" s="394">
        <f>12638+68</f>
        <v>12706</v>
      </c>
    </row>
    <row r="11" spans="1:40" ht="27.75" customHeight="1">
      <c r="A11" s="385" t="s">
        <v>212</v>
      </c>
      <c r="B11" s="398" t="s">
        <v>214</v>
      </c>
      <c r="C11" s="387">
        <v>0</v>
      </c>
      <c r="D11" s="387">
        <v>0</v>
      </c>
      <c r="E11" s="387">
        <v>0</v>
      </c>
      <c r="F11" s="387">
        <v>0</v>
      </c>
      <c r="G11" s="388">
        <v>0</v>
      </c>
      <c r="H11" s="388">
        <v>0</v>
      </c>
      <c r="I11" s="388">
        <v>0</v>
      </c>
      <c r="J11" s="388">
        <v>0</v>
      </c>
      <c r="K11" s="388">
        <v>0</v>
      </c>
      <c r="L11" s="388">
        <v>0</v>
      </c>
      <c r="M11" s="388">
        <v>0</v>
      </c>
      <c r="N11" s="388">
        <v>0</v>
      </c>
      <c r="O11" s="387">
        <v>0</v>
      </c>
      <c r="P11" s="389">
        <v>0</v>
      </c>
      <c r="Q11" s="387">
        <v>0</v>
      </c>
      <c r="R11" s="389">
        <v>0</v>
      </c>
      <c r="S11" s="387">
        <v>0</v>
      </c>
      <c r="T11" s="387">
        <v>0</v>
      </c>
      <c r="U11" s="388" t="s">
        <v>163</v>
      </c>
      <c r="V11" s="390" t="s">
        <v>163</v>
      </c>
      <c r="W11" s="391" t="s">
        <v>164</v>
      </c>
      <c r="X11" s="392" t="s">
        <v>163</v>
      </c>
      <c r="Y11" s="391" t="s">
        <v>164</v>
      </c>
      <c r="Z11" s="392" t="s">
        <v>163</v>
      </c>
      <c r="AA11" s="392" t="s">
        <v>164</v>
      </c>
      <c r="AB11" s="393" t="s">
        <v>163</v>
      </c>
      <c r="AC11" s="391">
        <v>3568</v>
      </c>
      <c r="AD11" s="393">
        <v>1784</v>
      </c>
      <c r="AE11" s="391" t="s">
        <v>163</v>
      </c>
      <c r="AF11" s="393" t="s">
        <v>163</v>
      </c>
      <c r="AG11" s="391" t="s">
        <v>163</v>
      </c>
      <c r="AH11" s="392" t="s">
        <v>163</v>
      </c>
      <c r="AI11" s="391" t="s">
        <v>163</v>
      </c>
      <c r="AJ11" s="392" t="s">
        <v>163</v>
      </c>
      <c r="AK11" s="391" t="s">
        <v>163</v>
      </c>
      <c r="AL11" s="393" t="s">
        <v>163</v>
      </c>
      <c r="AM11" s="391">
        <f>7110+180</f>
        <v>7290</v>
      </c>
      <c r="AN11" s="394">
        <f>3555+90</f>
        <v>3645</v>
      </c>
    </row>
    <row r="12" spans="1:40" ht="27.75" customHeight="1">
      <c r="A12" s="385" t="s">
        <v>215</v>
      </c>
      <c r="B12" s="399" t="s">
        <v>216</v>
      </c>
      <c r="C12" s="387">
        <v>0</v>
      </c>
      <c r="D12" s="387">
        <v>0</v>
      </c>
      <c r="E12" s="387">
        <v>0</v>
      </c>
      <c r="F12" s="387">
        <v>0</v>
      </c>
      <c r="G12" s="388">
        <v>0</v>
      </c>
      <c r="H12" s="388">
        <v>0</v>
      </c>
      <c r="I12" s="388">
        <v>0</v>
      </c>
      <c r="J12" s="388">
        <v>0</v>
      </c>
      <c r="K12" s="388">
        <v>0</v>
      </c>
      <c r="L12" s="388">
        <v>0</v>
      </c>
      <c r="M12" s="388">
        <v>0</v>
      </c>
      <c r="N12" s="388">
        <v>0</v>
      </c>
      <c r="O12" s="387">
        <v>0</v>
      </c>
      <c r="P12" s="389">
        <v>0</v>
      </c>
      <c r="Q12" s="387">
        <v>0</v>
      </c>
      <c r="R12" s="389">
        <v>0</v>
      </c>
      <c r="S12" s="387">
        <v>0</v>
      </c>
      <c r="T12" s="387">
        <v>0</v>
      </c>
      <c r="U12" s="388" t="s">
        <v>163</v>
      </c>
      <c r="V12" s="390" t="s">
        <v>163</v>
      </c>
      <c r="W12" s="391" t="s">
        <v>164</v>
      </c>
      <c r="X12" s="392" t="s">
        <v>163</v>
      </c>
      <c r="Y12" s="391" t="s">
        <v>164</v>
      </c>
      <c r="Z12" s="392" t="s">
        <v>163</v>
      </c>
      <c r="AA12" s="392" t="s">
        <v>164</v>
      </c>
      <c r="AB12" s="393" t="s">
        <v>163</v>
      </c>
      <c r="AC12" s="391" t="s">
        <v>164</v>
      </c>
      <c r="AD12" s="393" t="s">
        <v>163</v>
      </c>
      <c r="AE12" s="391">
        <v>2274</v>
      </c>
      <c r="AF12" s="393">
        <v>1076</v>
      </c>
      <c r="AG12" s="391">
        <v>4886</v>
      </c>
      <c r="AH12" s="392">
        <v>1703</v>
      </c>
      <c r="AI12" s="391">
        <v>19166</v>
      </c>
      <c r="AJ12" s="392">
        <v>6678</v>
      </c>
      <c r="AK12" s="391">
        <v>23774</v>
      </c>
      <c r="AL12" s="393">
        <v>8292</v>
      </c>
      <c r="AM12" s="391">
        <f>16582+7056</f>
        <v>23638</v>
      </c>
      <c r="AN12" s="394">
        <f>5794+2451</f>
        <v>8245</v>
      </c>
    </row>
    <row r="13" spans="1:40" ht="27.75" customHeight="1">
      <c r="A13" s="400" t="s">
        <v>217</v>
      </c>
      <c r="B13" s="197" t="s">
        <v>218</v>
      </c>
      <c r="C13" s="107">
        <v>937880</v>
      </c>
      <c r="D13" s="107">
        <v>384672</v>
      </c>
      <c r="E13" s="186">
        <v>857922</v>
      </c>
      <c r="F13" s="186">
        <v>360327</v>
      </c>
      <c r="G13" s="401">
        <v>809750</v>
      </c>
      <c r="H13" s="401">
        <v>340095</v>
      </c>
      <c r="I13" s="186">
        <v>776462</v>
      </c>
      <c r="J13" s="186">
        <v>326114</v>
      </c>
      <c r="K13" s="186">
        <v>773131</v>
      </c>
      <c r="L13" s="186">
        <v>324716</v>
      </c>
      <c r="M13" s="186">
        <v>785455</v>
      </c>
      <c r="N13" s="186">
        <v>324716</v>
      </c>
      <c r="O13" s="186">
        <v>779952</v>
      </c>
      <c r="P13" s="402">
        <v>324716</v>
      </c>
      <c r="Q13" s="186">
        <v>776020</v>
      </c>
      <c r="R13" s="402">
        <v>324716</v>
      </c>
      <c r="S13" s="186">
        <v>772913</v>
      </c>
      <c r="T13" s="186">
        <v>323027</v>
      </c>
      <c r="U13" s="401">
        <v>762027</v>
      </c>
      <c r="V13" s="403">
        <v>320051</v>
      </c>
      <c r="W13" s="107">
        <v>753474</v>
      </c>
      <c r="X13" s="397">
        <v>316459</v>
      </c>
      <c r="Y13" s="107">
        <v>753954</v>
      </c>
      <c r="Z13" s="397">
        <v>316459</v>
      </c>
      <c r="AA13" s="397">
        <v>752445</v>
      </c>
      <c r="AB13" s="108">
        <v>316027</v>
      </c>
      <c r="AC13" s="107">
        <v>750935</v>
      </c>
      <c r="AD13" s="108">
        <v>315393</v>
      </c>
      <c r="AE13" s="107">
        <v>768432</v>
      </c>
      <c r="AF13" s="108">
        <v>315393</v>
      </c>
      <c r="AG13" s="107">
        <v>767662</v>
      </c>
      <c r="AH13" s="397">
        <v>315393</v>
      </c>
      <c r="AI13" s="107">
        <v>767662</v>
      </c>
      <c r="AJ13" s="397">
        <v>315393</v>
      </c>
      <c r="AK13" s="107">
        <v>779647</v>
      </c>
      <c r="AL13" s="108">
        <v>315393</v>
      </c>
      <c r="AM13" s="107">
        <v>778860</v>
      </c>
      <c r="AN13" s="404">
        <v>315393</v>
      </c>
    </row>
    <row r="14" spans="1:40" ht="27.75" customHeight="1" hidden="1">
      <c r="A14" s="385" t="s">
        <v>219</v>
      </c>
      <c r="B14" s="386" t="s">
        <v>211</v>
      </c>
      <c r="C14" s="405">
        <v>0</v>
      </c>
      <c r="D14" s="405">
        <v>0</v>
      </c>
      <c r="E14" s="406">
        <v>0</v>
      </c>
      <c r="F14" s="406">
        <v>0</v>
      </c>
      <c r="G14" s="397">
        <v>93447</v>
      </c>
      <c r="H14" s="397">
        <v>21804</v>
      </c>
      <c r="I14" s="107">
        <v>89748</v>
      </c>
      <c r="J14" s="107">
        <v>31412</v>
      </c>
      <c r="K14" s="407">
        <v>0</v>
      </c>
      <c r="L14" s="407">
        <v>0</v>
      </c>
      <c r="M14" s="407">
        <v>0</v>
      </c>
      <c r="N14" s="407">
        <v>0</v>
      </c>
      <c r="O14" s="407">
        <v>0</v>
      </c>
      <c r="P14" s="408">
        <v>0</v>
      </c>
      <c r="Q14" s="407">
        <v>0</v>
      </c>
      <c r="R14" s="408">
        <v>0</v>
      </c>
      <c r="S14" s="407">
        <v>0</v>
      </c>
      <c r="T14" s="407">
        <v>0</v>
      </c>
      <c r="U14" s="409" t="s">
        <v>163</v>
      </c>
      <c r="V14" s="410" t="s">
        <v>163</v>
      </c>
      <c r="W14" s="391" t="s">
        <v>163</v>
      </c>
      <c r="X14" s="392" t="s">
        <v>163</v>
      </c>
      <c r="Y14" s="391" t="s">
        <v>163</v>
      </c>
      <c r="Z14" s="392" t="s">
        <v>163</v>
      </c>
      <c r="AA14" s="392" t="s">
        <v>163</v>
      </c>
      <c r="AB14" s="393" t="s">
        <v>163</v>
      </c>
      <c r="AC14" s="391" t="s">
        <v>163</v>
      </c>
      <c r="AD14" s="393" t="s">
        <v>163</v>
      </c>
      <c r="AE14" s="391" t="s">
        <v>163</v>
      </c>
      <c r="AF14" s="393" t="s">
        <v>163</v>
      </c>
      <c r="AG14" s="391" t="s">
        <v>163</v>
      </c>
      <c r="AH14" s="392" t="s">
        <v>163</v>
      </c>
      <c r="AI14" s="391" t="s">
        <v>163</v>
      </c>
      <c r="AJ14" s="392" t="s">
        <v>163</v>
      </c>
      <c r="AK14" s="391" t="s">
        <v>163</v>
      </c>
      <c r="AL14" s="393" t="s">
        <v>163</v>
      </c>
      <c r="AM14" s="391" t="s">
        <v>163</v>
      </c>
      <c r="AN14" s="394" t="s">
        <v>163</v>
      </c>
    </row>
    <row r="15" spans="1:40" ht="27.75" customHeight="1">
      <c r="A15" s="625" t="s">
        <v>56</v>
      </c>
      <c r="B15" s="626"/>
      <c r="C15" s="107">
        <f aca="true" t="shared" si="0" ref="C15:AN15">SUM(C6:C14)</f>
        <v>1275364</v>
      </c>
      <c r="D15" s="107">
        <f t="shared" si="0"/>
        <v>501893</v>
      </c>
      <c r="E15" s="107">
        <f t="shared" si="0"/>
        <v>1166828</v>
      </c>
      <c r="F15" s="107">
        <f t="shared" si="0"/>
        <v>468444</v>
      </c>
      <c r="G15" s="107">
        <f t="shared" si="0"/>
        <v>1192261</v>
      </c>
      <c r="H15" s="107">
        <f t="shared" si="0"/>
        <v>463071</v>
      </c>
      <c r="I15" s="107">
        <f t="shared" si="0"/>
        <v>1140112</v>
      </c>
      <c r="J15" s="107">
        <f t="shared" si="0"/>
        <v>453392</v>
      </c>
      <c r="K15" s="107">
        <f t="shared" si="0"/>
        <v>1929497</v>
      </c>
      <c r="L15" s="107">
        <f t="shared" si="0"/>
        <v>729444</v>
      </c>
      <c r="M15" s="107">
        <f t="shared" si="0"/>
        <v>1927787</v>
      </c>
      <c r="N15" s="107">
        <f t="shared" si="0"/>
        <v>723838</v>
      </c>
      <c r="O15" s="107">
        <f t="shared" si="0"/>
        <v>1787884</v>
      </c>
      <c r="P15" s="107">
        <f t="shared" si="0"/>
        <v>677448</v>
      </c>
      <c r="Q15" s="109">
        <f t="shared" si="0"/>
        <v>1743796</v>
      </c>
      <c r="R15" s="109">
        <f t="shared" si="0"/>
        <v>663395</v>
      </c>
      <c r="S15" s="109">
        <f t="shared" si="0"/>
        <v>1702597</v>
      </c>
      <c r="T15" s="109">
        <f t="shared" si="0"/>
        <v>648415</v>
      </c>
      <c r="U15" s="109">
        <f t="shared" si="0"/>
        <v>1714738</v>
      </c>
      <c r="V15" s="109">
        <f t="shared" si="0"/>
        <v>706158</v>
      </c>
      <c r="W15" s="107">
        <f t="shared" si="0"/>
        <v>1828214</v>
      </c>
      <c r="X15" s="397">
        <f t="shared" si="0"/>
        <v>754321</v>
      </c>
      <c r="Y15" s="107">
        <f t="shared" si="0"/>
        <v>1873289</v>
      </c>
      <c r="Z15" s="397">
        <f t="shared" si="0"/>
        <v>761959</v>
      </c>
      <c r="AA15" s="397">
        <f t="shared" si="0"/>
        <v>1860460</v>
      </c>
      <c r="AB15" s="108">
        <f t="shared" si="0"/>
        <v>878527</v>
      </c>
      <c r="AC15" s="107">
        <f t="shared" si="0"/>
        <v>1872844</v>
      </c>
      <c r="AD15" s="108">
        <f t="shared" si="0"/>
        <v>885960</v>
      </c>
      <c r="AE15" s="107">
        <f t="shared" si="0"/>
        <v>1872970</v>
      </c>
      <c r="AF15" s="108">
        <f t="shared" si="0"/>
        <v>906437</v>
      </c>
      <c r="AG15" s="107">
        <f t="shared" si="0"/>
        <v>1873255</v>
      </c>
      <c r="AH15" s="397">
        <f t="shared" si="0"/>
        <v>906338</v>
      </c>
      <c r="AI15" s="107">
        <f t="shared" si="0"/>
        <v>1015692</v>
      </c>
      <c r="AJ15" s="397">
        <f t="shared" si="0"/>
        <v>403047</v>
      </c>
      <c r="AK15" s="107">
        <f t="shared" si="0"/>
        <v>1032825</v>
      </c>
      <c r="AL15" s="108">
        <f t="shared" si="0"/>
        <v>405344</v>
      </c>
      <c r="AM15" s="107">
        <f t="shared" si="0"/>
        <v>1054088</v>
      </c>
      <c r="AN15" s="404">
        <f t="shared" si="0"/>
        <v>416600</v>
      </c>
    </row>
    <row r="16" spans="1:40" ht="27.75" customHeight="1" thickBot="1">
      <c r="A16" s="627" t="s">
        <v>67</v>
      </c>
      <c r="B16" s="628"/>
      <c r="C16" s="411">
        <v>90.7</v>
      </c>
      <c r="D16" s="411">
        <v>98.1</v>
      </c>
      <c r="E16" s="207">
        <f>ROUND((E15/C15)*100,1)</f>
        <v>91.5</v>
      </c>
      <c r="F16" s="207">
        <f>ROUND((F15/D15)*100,1)</f>
        <v>93.3</v>
      </c>
      <c r="G16" s="207">
        <f aca="true" t="shared" si="1" ref="G16:AL16">ROUND((G15/E15)*100,1)</f>
        <v>102.2</v>
      </c>
      <c r="H16" s="207">
        <f t="shared" si="1"/>
        <v>98.9</v>
      </c>
      <c r="I16" s="412">
        <f t="shared" si="1"/>
        <v>95.6</v>
      </c>
      <c r="J16" s="412">
        <f t="shared" si="1"/>
        <v>97.9</v>
      </c>
      <c r="K16" s="207">
        <f t="shared" si="1"/>
        <v>169.2</v>
      </c>
      <c r="L16" s="207">
        <f t="shared" si="1"/>
        <v>160.9</v>
      </c>
      <c r="M16" s="207">
        <f t="shared" si="1"/>
        <v>99.9</v>
      </c>
      <c r="N16" s="207">
        <f t="shared" si="1"/>
        <v>99.2</v>
      </c>
      <c r="O16" s="207">
        <f t="shared" si="1"/>
        <v>92.7</v>
      </c>
      <c r="P16" s="207">
        <f t="shared" si="1"/>
        <v>93.6</v>
      </c>
      <c r="Q16" s="207">
        <f t="shared" si="1"/>
        <v>97.5</v>
      </c>
      <c r="R16" s="413">
        <f t="shared" si="1"/>
        <v>97.9</v>
      </c>
      <c r="S16" s="207">
        <f t="shared" si="1"/>
        <v>97.6</v>
      </c>
      <c r="T16" s="413">
        <f t="shared" si="1"/>
        <v>97.7</v>
      </c>
      <c r="U16" s="207">
        <f t="shared" si="1"/>
        <v>100.7</v>
      </c>
      <c r="V16" s="413">
        <f t="shared" si="1"/>
        <v>108.9</v>
      </c>
      <c r="W16" s="411">
        <f t="shared" si="1"/>
        <v>106.6</v>
      </c>
      <c r="X16" s="414">
        <f t="shared" si="1"/>
        <v>106.8</v>
      </c>
      <c r="Y16" s="112">
        <f t="shared" si="1"/>
        <v>102.5</v>
      </c>
      <c r="Z16" s="415">
        <f t="shared" si="1"/>
        <v>101</v>
      </c>
      <c r="AA16" s="415">
        <f t="shared" si="1"/>
        <v>99.3</v>
      </c>
      <c r="AB16" s="113">
        <f t="shared" si="1"/>
        <v>115.3</v>
      </c>
      <c r="AC16" s="112">
        <f t="shared" si="1"/>
        <v>100.7</v>
      </c>
      <c r="AD16" s="113">
        <f t="shared" si="1"/>
        <v>100.8</v>
      </c>
      <c r="AE16" s="112">
        <f>ROUND((AE15/AC15)*100,1)</f>
        <v>100</v>
      </c>
      <c r="AF16" s="113">
        <f t="shared" si="1"/>
        <v>102.3</v>
      </c>
      <c r="AG16" s="112">
        <f t="shared" si="1"/>
        <v>100</v>
      </c>
      <c r="AH16" s="415">
        <f t="shared" si="1"/>
        <v>100</v>
      </c>
      <c r="AI16" s="112">
        <f t="shared" si="1"/>
        <v>54.2</v>
      </c>
      <c r="AJ16" s="415">
        <f t="shared" si="1"/>
        <v>44.5</v>
      </c>
      <c r="AK16" s="112">
        <f t="shared" si="1"/>
        <v>101.7</v>
      </c>
      <c r="AL16" s="113">
        <f t="shared" si="1"/>
        <v>100.6</v>
      </c>
      <c r="AM16" s="112">
        <f>ROUND((AM15/AK15)*100,1)</f>
        <v>102.1</v>
      </c>
      <c r="AN16" s="416">
        <f>ROUND((AN15/AL15)*100,1)</f>
        <v>102.8</v>
      </c>
    </row>
    <row r="17" spans="1:40" ht="27.75" customHeight="1">
      <c r="A17" s="417"/>
      <c r="B17" s="417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</row>
    <row r="18" spans="1:40" ht="27.75" customHeight="1">
      <c r="A18" s="417"/>
      <c r="B18" s="417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</row>
    <row r="19" spans="1:40" ht="27.75" customHeight="1">
      <c r="A19" s="371"/>
      <c r="B19" s="371" t="s">
        <v>100</v>
      </c>
      <c r="C19" s="371" t="s">
        <v>100</v>
      </c>
      <c r="D19" s="371" t="s">
        <v>100</v>
      </c>
      <c r="E19" s="371" t="s">
        <v>100</v>
      </c>
      <c r="F19" s="371" t="s">
        <v>100</v>
      </c>
      <c r="G19" s="371" t="s">
        <v>100</v>
      </c>
      <c r="H19" s="371" t="s">
        <v>100</v>
      </c>
      <c r="I19" s="371"/>
      <c r="J19" s="371"/>
      <c r="K19" s="371" t="s">
        <v>100</v>
      </c>
      <c r="L19" s="371" t="s">
        <v>100</v>
      </c>
      <c r="M19" s="371" t="s">
        <v>100</v>
      </c>
      <c r="N19" s="371" t="s">
        <v>100</v>
      </c>
      <c r="O19" s="371" t="s">
        <v>100</v>
      </c>
      <c r="P19" s="371" t="s">
        <v>100</v>
      </c>
      <c r="Q19" s="371" t="s">
        <v>100</v>
      </c>
      <c r="R19" s="371" t="s">
        <v>100</v>
      </c>
      <c r="S19" s="371"/>
      <c r="T19" s="371" t="s">
        <v>100</v>
      </c>
      <c r="U19" s="371" t="s">
        <v>100</v>
      </c>
      <c r="V19" s="371" t="s">
        <v>100</v>
      </c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</row>
    <row r="20" spans="1:40" ht="27.75" customHeight="1" thickBot="1">
      <c r="A20" s="371" t="s">
        <v>220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4"/>
      <c r="W20" s="420"/>
      <c r="X20" s="374"/>
      <c r="Y20" s="371"/>
      <c r="Z20" s="374"/>
      <c r="AA20" s="371"/>
      <c r="AB20" s="374"/>
      <c r="AC20" s="371"/>
      <c r="AD20" s="374"/>
      <c r="AE20" s="371"/>
      <c r="AF20" s="374"/>
      <c r="AG20" s="371"/>
      <c r="AH20" s="374"/>
      <c r="AI20" s="371"/>
      <c r="AJ20" s="374"/>
      <c r="AK20" s="371"/>
      <c r="AL20" s="374"/>
      <c r="AM20" s="371"/>
      <c r="AN20" s="374" t="s">
        <v>49</v>
      </c>
    </row>
    <row r="21" spans="1:40" ht="27.75" customHeight="1">
      <c r="A21" s="706" t="s">
        <v>201</v>
      </c>
      <c r="B21" s="707"/>
      <c r="C21" s="668" t="s">
        <v>36</v>
      </c>
      <c r="D21" s="668"/>
      <c r="E21" s="668" t="s">
        <v>86</v>
      </c>
      <c r="F21" s="668"/>
      <c r="G21" s="620" t="s">
        <v>37</v>
      </c>
      <c r="H21" s="620"/>
      <c r="I21" s="668" t="s">
        <v>38</v>
      </c>
      <c r="J21" s="668"/>
      <c r="K21" s="668" t="s">
        <v>39</v>
      </c>
      <c r="L21" s="668"/>
      <c r="M21" s="668" t="s">
        <v>40</v>
      </c>
      <c r="N21" s="668"/>
      <c r="O21" s="668" t="s">
        <v>41</v>
      </c>
      <c r="P21" s="703"/>
      <c r="Q21" s="668" t="s">
        <v>42</v>
      </c>
      <c r="R21" s="703"/>
      <c r="S21" s="668" t="s">
        <v>162</v>
      </c>
      <c r="T21" s="668"/>
      <c r="U21" s="703" t="s">
        <v>19</v>
      </c>
      <c r="V21" s="704"/>
      <c r="W21" s="703" t="s">
        <v>132</v>
      </c>
      <c r="X21" s="620"/>
      <c r="Y21" s="703" t="s">
        <v>133</v>
      </c>
      <c r="Z21" s="620"/>
      <c r="AA21" s="704" t="s">
        <v>24</v>
      </c>
      <c r="AB21" s="704"/>
      <c r="AC21" s="703" t="s">
        <v>25</v>
      </c>
      <c r="AD21" s="704"/>
      <c r="AE21" s="703" t="s">
        <v>46</v>
      </c>
      <c r="AF21" s="704"/>
      <c r="AG21" s="703" t="s">
        <v>221</v>
      </c>
      <c r="AH21" s="620"/>
      <c r="AI21" s="703" t="s">
        <v>27</v>
      </c>
      <c r="AJ21" s="620"/>
      <c r="AK21" s="703" t="s">
        <v>30</v>
      </c>
      <c r="AL21" s="704"/>
      <c r="AM21" s="703" t="s">
        <v>35</v>
      </c>
      <c r="AN21" s="705"/>
    </row>
    <row r="22" spans="1:40" ht="27.75" customHeight="1">
      <c r="A22" s="708"/>
      <c r="B22" s="709"/>
      <c r="C22" s="375" t="s">
        <v>155</v>
      </c>
      <c r="D22" s="375" t="s">
        <v>222</v>
      </c>
      <c r="E22" s="375" t="s">
        <v>155</v>
      </c>
      <c r="F22" s="375" t="s">
        <v>222</v>
      </c>
      <c r="G22" s="376" t="s">
        <v>155</v>
      </c>
      <c r="H22" s="375" t="s">
        <v>222</v>
      </c>
      <c r="I22" s="375" t="s">
        <v>155</v>
      </c>
      <c r="J22" s="375" t="s">
        <v>222</v>
      </c>
      <c r="K22" s="375" t="s">
        <v>155</v>
      </c>
      <c r="L22" s="375" t="s">
        <v>222</v>
      </c>
      <c r="M22" s="375" t="s">
        <v>155</v>
      </c>
      <c r="N22" s="375" t="s">
        <v>222</v>
      </c>
      <c r="O22" s="375" t="s">
        <v>155</v>
      </c>
      <c r="P22" s="377" t="s">
        <v>222</v>
      </c>
      <c r="Q22" s="375" t="s">
        <v>155</v>
      </c>
      <c r="R22" s="377" t="s">
        <v>222</v>
      </c>
      <c r="S22" s="375" t="s">
        <v>155</v>
      </c>
      <c r="T22" s="375" t="s">
        <v>222</v>
      </c>
      <c r="U22" s="375" t="s">
        <v>202</v>
      </c>
      <c r="V22" s="377" t="s">
        <v>223</v>
      </c>
      <c r="W22" s="375" t="s">
        <v>202</v>
      </c>
      <c r="X22" s="376" t="s">
        <v>223</v>
      </c>
      <c r="Y22" s="375" t="s">
        <v>202</v>
      </c>
      <c r="Z22" s="376" t="s">
        <v>223</v>
      </c>
      <c r="AA22" s="376" t="s">
        <v>202</v>
      </c>
      <c r="AB22" s="378" t="s">
        <v>223</v>
      </c>
      <c r="AC22" s="375" t="s">
        <v>202</v>
      </c>
      <c r="AD22" s="378" t="s">
        <v>223</v>
      </c>
      <c r="AE22" s="375" t="s">
        <v>202</v>
      </c>
      <c r="AF22" s="378" t="s">
        <v>223</v>
      </c>
      <c r="AG22" s="375" t="s">
        <v>202</v>
      </c>
      <c r="AH22" s="376" t="s">
        <v>223</v>
      </c>
      <c r="AI22" s="375" t="s">
        <v>202</v>
      </c>
      <c r="AJ22" s="376" t="s">
        <v>223</v>
      </c>
      <c r="AK22" s="375" t="s">
        <v>202</v>
      </c>
      <c r="AL22" s="378" t="s">
        <v>223</v>
      </c>
      <c r="AM22" s="375" t="s">
        <v>202</v>
      </c>
      <c r="AN22" s="379" t="s">
        <v>223</v>
      </c>
    </row>
    <row r="23" spans="1:40" ht="27.75" customHeight="1">
      <c r="A23" s="421" t="s">
        <v>204</v>
      </c>
      <c r="B23" s="197" t="s">
        <v>224</v>
      </c>
      <c r="C23" s="189">
        <v>235508</v>
      </c>
      <c r="D23" s="189">
        <v>117342</v>
      </c>
      <c r="E23" s="422">
        <v>235508</v>
      </c>
      <c r="F23" s="422">
        <v>117342</v>
      </c>
      <c r="G23" s="422">
        <v>233060</v>
      </c>
      <c r="H23" s="422">
        <v>116118</v>
      </c>
      <c r="I23" s="422">
        <v>233060</v>
      </c>
      <c r="J23" s="422">
        <v>116118</v>
      </c>
      <c r="K23" s="422">
        <v>233060</v>
      </c>
      <c r="L23" s="422">
        <v>116118</v>
      </c>
      <c r="M23" s="422">
        <v>206091</v>
      </c>
      <c r="N23" s="422">
        <v>102633</v>
      </c>
      <c r="O23" s="422">
        <v>206091</v>
      </c>
      <c r="P23" s="423">
        <v>102633</v>
      </c>
      <c r="Q23" s="422">
        <v>206331</v>
      </c>
      <c r="R23" s="423">
        <v>102753</v>
      </c>
      <c r="S23" s="422">
        <v>205272</v>
      </c>
      <c r="T23" s="422">
        <v>102224</v>
      </c>
      <c r="U23" s="189">
        <v>205272</v>
      </c>
      <c r="V23" s="103">
        <v>102224</v>
      </c>
      <c r="W23" s="189">
        <v>205272</v>
      </c>
      <c r="X23" s="383">
        <v>102224</v>
      </c>
      <c r="Y23" s="189">
        <v>204660</v>
      </c>
      <c r="Z23" s="383">
        <v>101918</v>
      </c>
      <c r="AA23" s="383">
        <v>204660</v>
      </c>
      <c r="AB23" s="111">
        <v>101918</v>
      </c>
      <c r="AC23" s="189">
        <v>204660</v>
      </c>
      <c r="AD23" s="111">
        <v>101917</v>
      </c>
      <c r="AE23" s="189">
        <v>203614</v>
      </c>
      <c r="AF23" s="111">
        <v>101394</v>
      </c>
      <c r="AG23" s="189">
        <v>203614</v>
      </c>
      <c r="AH23" s="383">
        <v>101395</v>
      </c>
      <c r="AI23" s="189">
        <v>203614</v>
      </c>
      <c r="AJ23" s="383">
        <v>101395</v>
      </c>
      <c r="AK23" s="189">
        <v>199891</v>
      </c>
      <c r="AL23" s="111">
        <v>99533</v>
      </c>
      <c r="AM23" s="189">
        <v>201471</v>
      </c>
      <c r="AN23" s="384">
        <v>100323</v>
      </c>
    </row>
    <row r="24" spans="1:40" ht="27.75" customHeight="1">
      <c r="A24" s="385" t="s">
        <v>225</v>
      </c>
      <c r="B24" s="386" t="s">
        <v>226</v>
      </c>
      <c r="C24" s="406">
        <v>0</v>
      </c>
      <c r="D24" s="406">
        <v>0</v>
      </c>
      <c r="E24" s="406">
        <v>0</v>
      </c>
      <c r="F24" s="406">
        <v>0</v>
      </c>
      <c r="G24" s="107">
        <v>860</v>
      </c>
      <c r="H24" s="107">
        <v>430</v>
      </c>
      <c r="I24" s="107">
        <v>860</v>
      </c>
      <c r="J24" s="107">
        <v>430</v>
      </c>
      <c r="K24" s="107">
        <v>860</v>
      </c>
      <c r="L24" s="107">
        <v>430</v>
      </c>
      <c r="M24" s="107">
        <v>1700</v>
      </c>
      <c r="N24" s="107">
        <v>850</v>
      </c>
      <c r="O24" s="107">
        <v>1700</v>
      </c>
      <c r="P24" s="109">
        <v>850</v>
      </c>
      <c r="Q24" s="107">
        <v>1701</v>
      </c>
      <c r="R24" s="109">
        <v>850</v>
      </c>
      <c r="S24" s="107">
        <v>2241</v>
      </c>
      <c r="T24" s="107">
        <v>1120</v>
      </c>
      <c r="U24" s="107">
        <v>2241</v>
      </c>
      <c r="V24" s="109">
        <v>1120</v>
      </c>
      <c r="W24" s="107">
        <v>4370</v>
      </c>
      <c r="X24" s="397">
        <v>2185</v>
      </c>
      <c r="Y24" s="107">
        <v>21224</v>
      </c>
      <c r="Z24" s="397">
        <v>10313</v>
      </c>
      <c r="AA24" s="397">
        <v>21224</v>
      </c>
      <c r="AB24" s="108">
        <v>10209</v>
      </c>
      <c r="AC24" s="107">
        <v>21129</v>
      </c>
      <c r="AD24" s="108">
        <v>10162</v>
      </c>
      <c r="AE24" s="107">
        <v>20946</v>
      </c>
      <c r="AF24" s="108">
        <v>10072</v>
      </c>
      <c r="AG24" s="107">
        <v>23129</v>
      </c>
      <c r="AH24" s="397">
        <v>11164</v>
      </c>
      <c r="AI24" s="107">
        <v>23510</v>
      </c>
      <c r="AJ24" s="397">
        <v>11164</v>
      </c>
      <c r="AK24" s="107">
        <v>23181</v>
      </c>
      <c r="AL24" s="108">
        <v>11190</v>
      </c>
      <c r="AM24" s="107">
        <v>24411</v>
      </c>
      <c r="AN24" s="404">
        <v>11805</v>
      </c>
    </row>
    <row r="25" spans="1:40" ht="27.75" customHeight="1">
      <c r="A25" s="385" t="s">
        <v>227</v>
      </c>
      <c r="B25" s="386" t="s">
        <v>228</v>
      </c>
      <c r="C25" s="405"/>
      <c r="D25" s="405"/>
      <c r="E25" s="406">
        <v>0</v>
      </c>
      <c r="F25" s="406">
        <v>0</v>
      </c>
      <c r="G25" s="406">
        <v>0</v>
      </c>
      <c r="H25" s="406">
        <v>0</v>
      </c>
      <c r="I25" s="406">
        <v>0</v>
      </c>
      <c r="J25" s="406">
        <v>0</v>
      </c>
      <c r="K25" s="406">
        <v>0</v>
      </c>
      <c r="L25" s="406">
        <v>0</v>
      </c>
      <c r="M25" s="107">
        <v>4120772</v>
      </c>
      <c r="N25" s="107">
        <v>1648309</v>
      </c>
      <c r="O25" s="107">
        <v>4111252</v>
      </c>
      <c r="P25" s="109">
        <v>1644501</v>
      </c>
      <c r="Q25" s="107">
        <v>4796378</v>
      </c>
      <c r="R25" s="109">
        <v>1918551</v>
      </c>
      <c r="S25" s="107">
        <v>4347613</v>
      </c>
      <c r="T25" s="107">
        <v>1739045</v>
      </c>
      <c r="U25" s="107">
        <v>4321291</v>
      </c>
      <c r="V25" s="109">
        <v>1728517</v>
      </c>
      <c r="W25" s="107">
        <v>4346835</v>
      </c>
      <c r="X25" s="397">
        <v>1738734</v>
      </c>
      <c r="Y25" s="107">
        <v>4284459</v>
      </c>
      <c r="Z25" s="397">
        <v>1713783</v>
      </c>
      <c r="AA25" s="397">
        <v>4386513</v>
      </c>
      <c r="AB25" s="108">
        <v>1752860</v>
      </c>
      <c r="AC25" s="107">
        <v>4612880</v>
      </c>
      <c r="AD25" s="108">
        <v>1836521</v>
      </c>
      <c r="AE25" s="107">
        <v>4529341</v>
      </c>
      <c r="AF25" s="108">
        <v>1803105</v>
      </c>
      <c r="AG25" s="107">
        <v>4566100</v>
      </c>
      <c r="AH25" s="397">
        <v>1815933</v>
      </c>
      <c r="AI25" s="107">
        <v>5466562</v>
      </c>
      <c r="AJ25" s="397">
        <v>2090815</v>
      </c>
      <c r="AK25" s="107">
        <v>5392953</v>
      </c>
      <c r="AL25" s="108">
        <v>2073073</v>
      </c>
      <c r="AM25" s="107">
        <v>5425680</v>
      </c>
      <c r="AN25" s="404">
        <v>2078158</v>
      </c>
    </row>
    <row r="26" spans="1:40" ht="27.75" customHeight="1" hidden="1">
      <c r="A26" s="385" t="s">
        <v>229</v>
      </c>
      <c r="B26" s="386" t="s">
        <v>230</v>
      </c>
      <c r="C26" s="189">
        <v>5160949</v>
      </c>
      <c r="D26" s="189">
        <v>2580474</v>
      </c>
      <c r="E26" s="107">
        <v>5200106</v>
      </c>
      <c r="F26" s="107">
        <v>2594583</v>
      </c>
      <c r="G26" s="107">
        <v>4799424</v>
      </c>
      <c r="H26" s="107">
        <v>2394806</v>
      </c>
      <c r="I26" s="407">
        <v>0</v>
      </c>
      <c r="J26" s="407">
        <v>0</v>
      </c>
      <c r="K26" s="407">
        <v>0</v>
      </c>
      <c r="L26" s="407">
        <v>0</v>
      </c>
      <c r="M26" s="407">
        <v>0</v>
      </c>
      <c r="N26" s="407">
        <v>0</v>
      </c>
      <c r="O26" s="407">
        <v>0</v>
      </c>
      <c r="P26" s="408">
        <v>0</v>
      </c>
      <c r="Q26" s="407">
        <v>0</v>
      </c>
      <c r="R26" s="408">
        <v>0</v>
      </c>
      <c r="S26" s="407">
        <v>0</v>
      </c>
      <c r="T26" s="407">
        <v>0</v>
      </c>
      <c r="U26" s="406" t="s">
        <v>163</v>
      </c>
      <c r="V26" s="424" t="s">
        <v>163</v>
      </c>
      <c r="W26" s="391" t="s">
        <v>164</v>
      </c>
      <c r="X26" s="392" t="s">
        <v>164</v>
      </c>
      <c r="Y26" s="391" t="s">
        <v>164</v>
      </c>
      <c r="Z26" s="392" t="s">
        <v>164</v>
      </c>
      <c r="AA26" s="392" t="s">
        <v>164</v>
      </c>
      <c r="AB26" s="393" t="s">
        <v>164</v>
      </c>
      <c r="AC26" s="391" t="s">
        <v>164</v>
      </c>
      <c r="AD26" s="393" t="s">
        <v>164</v>
      </c>
      <c r="AE26" s="391" t="s">
        <v>164</v>
      </c>
      <c r="AF26" s="393" t="s">
        <v>164</v>
      </c>
      <c r="AG26" s="391" t="s">
        <v>164</v>
      </c>
      <c r="AH26" s="392" t="s">
        <v>164</v>
      </c>
      <c r="AI26" s="391"/>
      <c r="AJ26" s="392"/>
      <c r="AK26" s="391"/>
      <c r="AL26" s="393"/>
      <c r="AM26" s="391"/>
      <c r="AN26" s="394"/>
    </row>
    <row r="27" spans="1:40" ht="27.75" customHeight="1" hidden="1">
      <c r="A27" s="385" t="s">
        <v>231</v>
      </c>
      <c r="B27" s="425" t="s">
        <v>232</v>
      </c>
      <c r="C27" s="387">
        <v>0</v>
      </c>
      <c r="D27" s="387">
        <v>0</v>
      </c>
      <c r="E27" s="406">
        <v>0</v>
      </c>
      <c r="F27" s="406">
        <v>0</v>
      </c>
      <c r="G27" s="406">
        <v>0</v>
      </c>
      <c r="H27" s="406">
        <v>0</v>
      </c>
      <c r="I27" s="406">
        <v>5928</v>
      </c>
      <c r="J27" s="406">
        <v>1976</v>
      </c>
      <c r="K27" s="406">
        <v>5928</v>
      </c>
      <c r="L27" s="406">
        <v>1976</v>
      </c>
      <c r="M27" s="406">
        <v>5928</v>
      </c>
      <c r="N27" s="406">
        <v>1976</v>
      </c>
      <c r="O27" s="406">
        <v>5928</v>
      </c>
      <c r="P27" s="424">
        <v>1976</v>
      </c>
      <c r="Q27" s="406">
        <v>5928</v>
      </c>
      <c r="R27" s="424">
        <v>1976</v>
      </c>
      <c r="S27" s="406">
        <v>0</v>
      </c>
      <c r="T27" s="406">
        <v>0</v>
      </c>
      <c r="U27" s="406" t="s">
        <v>163</v>
      </c>
      <c r="V27" s="424" t="s">
        <v>163</v>
      </c>
      <c r="W27" s="391" t="s">
        <v>164</v>
      </c>
      <c r="X27" s="392" t="s">
        <v>164</v>
      </c>
      <c r="Y27" s="391" t="s">
        <v>164</v>
      </c>
      <c r="Z27" s="392" t="s">
        <v>164</v>
      </c>
      <c r="AA27" s="392" t="s">
        <v>164</v>
      </c>
      <c r="AB27" s="393" t="s">
        <v>164</v>
      </c>
      <c r="AC27" s="391" t="s">
        <v>164</v>
      </c>
      <c r="AD27" s="393" t="s">
        <v>164</v>
      </c>
      <c r="AE27" s="391" t="s">
        <v>164</v>
      </c>
      <c r="AF27" s="393" t="s">
        <v>164</v>
      </c>
      <c r="AG27" s="391" t="s">
        <v>164</v>
      </c>
      <c r="AH27" s="392" t="s">
        <v>164</v>
      </c>
      <c r="AI27" s="391"/>
      <c r="AJ27" s="392"/>
      <c r="AK27" s="391"/>
      <c r="AL27" s="393"/>
      <c r="AM27" s="391"/>
      <c r="AN27" s="394"/>
    </row>
    <row r="28" spans="1:40" ht="27.75" customHeight="1">
      <c r="A28" s="395" t="s">
        <v>208</v>
      </c>
      <c r="B28" s="426" t="s">
        <v>209</v>
      </c>
      <c r="C28" s="406">
        <v>0</v>
      </c>
      <c r="D28" s="406">
        <v>0</v>
      </c>
      <c r="E28" s="406">
        <v>0</v>
      </c>
      <c r="F28" s="406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1399406</v>
      </c>
      <c r="L28" s="406">
        <v>699703</v>
      </c>
      <c r="M28" s="406">
        <v>1377722</v>
      </c>
      <c r="N28" s="406">
        <v>688861</v>
      </c>
      <c r="O28" s="406">
        <v>1377721</v>
      </c>
      <c r="P28" s="424">
        <v>688861</v>
      </c>
      <c r="Q28" s="406">
        <v>1377721</v>
      </c>
      <c r="R28" s="424">
        <v>688861</v>
      </c>
      <c r="S28" s="406">
        <v>1264572</v>
      </c>
      <c r="T28" s="406">
        <v>632286</v>
      </c>
      <c r="U28" s="406">
        <v>1357755</v>
      </c>
      <c r="V28" s="424">
        <v>543102</v>
      </c>
      <c r="W28" s="107">
        <v>1634827</v>
      </c>
      <c r="X28" s="397">
        <v>653931</v>
      </c>
      <c r="Y28" s="107">
        <v>1615002</v>
      </c>
      <c r="Z28" s="397">
        <v>646001</v>
      </c>
      <c r="AA28" s="397">
        <v>1615002</v>
      </c>
      <c r="AB28" s="108">
        <v>323000</v>
      </c>
      <c r="AC28" s="107">
        <v>1731701</v>
      </c>
      <c r="AD28" s="108">
        <v>330772</v>
      </c>
      <c r="AE28" s="107">
        <v>1718177</v>
      </c>
      <c r="AF28" s="108">
        <v>285407</v>
      </c>
      <c r="AG28" s="107">
        <v>1718177</v>
      </c>
      <c r="AH28" s="397">
        <v>273502</v>
      </c>
      <c r="AI28" s="391" t="s">
        <v>164</v>
      </c>
      <c r="AJ28" s="392" t="s">
        <v>163</v>
      </c>
      <c r="AK28" s="391" t="s">
        <v>164</v>
      </c>
      <c r="AL28" s="393" t="s">
        <v>164</v>
      </c>
      <c r="AM28" s="391" t="s">
        <v>164</v>
      </c>
      <c r="AN28" s="394" t="s">
        <v>164</v>
      </c>
    </row>
    <row r="29" spans="1:40" ht="27.75" customHeight="1">
      <c r="A29" s="427" t="s">
        <v>215</v>
      </c>
      <c r="B29" s="198" t="s">
        <v>216</v>
      </c>
      <c r="C29" s="406">
        <v>0</v>
      </c>
      <c r="D29" s="406">
        <v>0</v>
      </c>
      <c r="E29" s="406">
        <v>0</v>
      </c>
      <c r="F29" s="406">
        <v>0</v>
      </c>
      <c r="G29" s="406">
        <v>0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06">
        <v>0</v>
      </c>
      <c r="O29" s="406">
        <v>0</v>
      </c>
      <c r="P29" s="406">
        <v>0</v>
      </c>
      <c r="Q29" s="406">
        <v>0</v>
      </c>
      <c r="R29" s="406">
        <v>0</v>
      </c>
      <c r="S29" s="406">
        <v>0</v>
      </c>
      <c r="T29" s="406">
        <v>0</v>
      </c>
      <c r="U29" s="406">
        <v>0</v>
      </c>
      <c r="V29" s="406">
        <v>0</v>
      </c>
      <c r="W29" s="406">
        <v>0</v>
      </c>
      <c r="X29" s="406">
        <v>0</v>
      </c>
      <c r="Y29" s="406">
        <v>0</v>
      </c>
      <c r="Z29" s="406">
        <v>0</v>
      </c>
      <c r="AA29" s="406">
        <v>0</v>
      </c>
      <c r="AB29" s="406">
        <v>0</v>
      </c>
      <c r="AC29" s="406">
        <v>0</v>
      </c>
      <c r="AD29" s="406">
        <v>0</v>
      </c>
      <c r="AE29" s="428">
        <v>81933</v>
      </c>
      <c r="AF29" s="108">
        <v>4907</v>
      </c>
      <c r="AG29" s="428">
        <v>97671</v>
      </c>
      <c r="AH29" s="397">
        <v>12776</v>
      </c>
      <c r="AI29" s="428">
        <v>234485</v>
      </c>
      <c r="AJ29" s="397">
        <v>40165</v>
      </c>
      <c r="AK29" s="107">
        <v>170509</v>
      </c>
      <c r="AL29" s="108">
        <v>49828</v>
      </c>
      <c r="AM29" s="107">
        <v>254440</v>
      </c>
      <c r="AN29" s="404">
        <v>53940</v>
      </c>
    </row>
    <row r="30" spans="1:40" ht="27.75" customHeight="1">
      <c r="A30" s="400" t="s">
        <v>217</v>
      </c>
      <c r="B30" s="386" t="s">
        <v>233</v>
      </c>
      <c r="C30" s="189">
        <v>25061</v>
      </c>
      <c r="D30" s="189">
        <v>10024</v>
      </c>
      <c r="E30" s="107">
        <v>25061</v>
      </c>
      <c r="F30" s="107">
        <v>10024</v>
      </c>
      <c r="G30" s="107">
        <v>21745</v>
      </c>
      <c r="H30" s="107">
        <v>8698</v>
      </c>
      <c r="I30" s="107">
        <v>21745</v>
      </c>
      <c r="J30" s="107">
        <v>8698</v>
      </c>
      <c r="K30" s="107">
        <v>21745</v>
      </c>
      <c r="L30" s="107">
        <v>8698</v>
      </c>
      <c r="M30" s="107">
        <v>20544</v>
      </c>
      <c r="N30" s="107">
        <v>8217</v>
      </c>
      <c r="O30" s="107">
        <v>20544</v>
      </c>
      <c r="P30" s="109">
        <v>8218</v>
      </c>
      <c r="Q30" s="107">
        <v>20544</v>
      </c>
      <c r="R30" s="109">
        <v>8217</v>
      </c>
      <c r="S30" s="107">
        <v>17768</v>
      </c>
      <c r="T30" s="107">
        <v>7107</v>
      </c>
      <c r="U30" s="107">
        <v>17768</v>
      </c>
      <c r="V30" s="109">
        <v>7107</v>
      </c>
      <c r="W30" s="107">
        <v>17768</v>
      </c>
      <c r="X30" s="397">
        <v>7107</v>
      </c>
      <c r="Y30" s="107">
        <v>16564</v>
      </c>
      <c r="Z30" s="397">
        <v>6626</v>
      </c>
      <c r="AA30" s="397">
        <v>16564</v>
      </c>
      <c r="AB30" s="108">
        <v>6626</v>
      </c>
      <c r="AC30" s="107">
        <v>16565</v>
      </c>
      <c r="AD30" s="108">
        <v>6626</v>
      </c>
      <c r="AE30" s="107">
        <v>15342</v>
      </c>
      <c r="AF30" s="108">
        <v>6136</v>
      </c>
      <c r="AG30" s="107">
        <v>15342</v>
      </c>
      <c r="AH30" s="397">
        <v>6137</v>
      </c>
      <c r="AI30" s="107">
        <v>15343</v>
      </c>
      <c r="AJ30" s="397">
        <v>6137</v>
      </c>
      <c r="AK30" s="107">
        <v>14042</v>
      </c>
      <c r="AL30" s="108">
        <v>5617</v>
      </c>
      <c r="AM30" s="107">
        <v>14042</v>
      </c>
      <c r="AN30" s="404">
        <v>5617</v>
      </c>
    </row>
    <row r="31" spans="1:40" ht="27.75" customHeight="1" hidden="1">
      <c r="A31" s="429" t="s">
        <v>234</v>
      </c>
      <c r="B31" s="386" t="s">
        <v>211</v>
      </c>
      <c r="C31" s="406">
        <v>0</v>
      </c>
      <c r="D31" s="406">
        <v>0</v>
      </c>
      <c r="E31" s="406">
        <v>0</v>
      </c>
      <c r="F31" s="406">
        <v>0</v>
      </c>
      <c r="G31" s="406">
        <v>2038</v>
      </c>
      <c r="H31" s="406">
        <v>1698</v>
      </c>
      <c r="I31" s="406">
        <v>2038</v>
      </c>
      <c r="J31" s="406">
        <v>1698</v>
      </c>
      <c r="K31" s="406">
        <v>2038</v>
      </c>
      <c r="L31" s="406">
        <v>1698</v>
      </c>
      <c r="M31" s="406">
        <v>1950</v>
      </c>
      <c r="N31" s="406">
        <v>1625</v>
      </c>
      <c r="O31" s="406">
        <v>0</v>
      </c>
      <c r="P31" s="424">
        <v>0</v>
      </c>
      <c r="Q31" s="406">
        <v>1950</v>
      </c>
      <c r="R31" s="424">
        <v>1625</v>
      </c>
      <c r="S31" s="406">
        <v>0</v>
      </c>
      <c r="T31" s="406">
        <v>0</v>
      </c>
      <c r="U31" s="406" t="s">
        <v>163</v>
      </c>
      <c r="V31" s="424" t="s">
        <v>163</v>
      </c>
      <c r="W31" s="391" t="s">
        <v>164</v>
      </c>
      <c r="X31" s="392" t="s">
        <v>164</v>
      </c>
      <c r="Y31" s="391" t="s">
        <v>164</v>
      </c>
      <c r="Z31" s="392" t="s">
        <v>164</v>
      </c>
      <c r="AA31" s="392" t="s">
        <v>164</v>
      </c>
      <c r="AB31" s="393" t="s">
        <v>164</v>
      </c>
      <c r="AC31" s="391" t="s">
        <v>164</v>
      </c>
      <c r="AD31" s="393" t="s">
        <v>164</v>
      </c>
      <c r="AE31" s="391" t="s">
        <v>164</v>
      </c>
      <c r="AF31" s="393" t="s">
        <v>164</v>
      </c>
      <c r="AG31" s="391" t="s">
        <v>164</v>
      </c>
      <c r="AH31" s="392" t="s">
        <v>164</v>
      </c>
      <c r="AI31" s="391" t="s">
        <v>164</v>
      </c>
      <c r="AJ31" s="392" t="s">
        <v>164</v>
      </c>
      <c r="AK31" s="391" t="s">
        <v>164</v>
      </c>
      <c r="AL31" s="393" t="s">
        <v>164</v>
      </c>
      <c r="AM31" s="391" t="s">
        <v>164</v>
      </c>
      <c r="AN31" s="394" t="s">
        <v>164</v>
      </c>
    </row>
    <row r="32" spans="1:40" ht="27.75" customHeight="1" hidden="1">
      <c r="A32" s="430" t="s">
        <v>235</v>
      </c>
      <c r="B32" s="386" t="s">
        <v>236</v>
      </c>
      <c r="C32" s="107">
        <v>122694</v>
      </c>
      <c r="D32" s="107">
        <v>30674</v>
      </c>
      <c r="E32" s="107">
        <v>122694</v>
      </c>
      <c r="F32" s="107">
        <v>30674</v>
      </c>
      <c r="G32" s="406">
        <v>0</v>
      </c>
      <c r="H32" s="406">
        <v>0</v>
      </c>
      <c r="I32" s="406">
        <v>0</v>
      </c>
      <c r="J32" s="406">
        <v>0</v>
      </c>
      <c r="K32" s="406">
        <v>0</v>
      </c>
      <c r="L32" s="406">
        <v>0</v>
      </c>
      <c r="M32" s="406">
        <v>0</v>
      </c>
      <c r="N32" s="406">
        <v>0</v>
      </c>
      <c r="O32" s="406">
        <v>0</v>
      </c>
      <c r="P32" s="424">
        <v>0</v>
      </c>
      <c r="Q32" s="406">
        <v>0</v>
      </c>
      <c r="R32" s="424">
        <v>0</v>
      </c>
      <c r="S32" s="406">
        <v>0</v>
      </c>
      <c r="T32" s="406">
        <v>0</v>
      </c>
      <c r="U32" s="406" t="s">
        <v>163</v>
      </c>
      <c r="V32" s="424" t="s">
        <v>163</v>
      </c>
      <c r="W32" s="391" t="s">
        <v>164</v>
      </c>
      <c r="X32" s="392" t="s">
        <v>164</v>
      </c>
      <c r="Y32" s="391" t="s">
        <v>164</v>
      </c>
      <c r="Z32" s="392" t="s">
        <v>164</v>
      </c>
      <c r="AA32" s="392" t="s">
        <v>164</v>
      </c>
      <c r="AB32" s="393" t="s">
        <v>164</v>
      </c>
      <c r="AC32" s="391" t="s">
        <v>164</v>
      </c>
      <c r="AD32" s="393" t="s">
        <v>164</v>
      </c>
      <c r="AE32" s="391" t="s">
        <v>164</v>
      </c>
      <c r="AF32" s="393" t="s">
        <v>164</v>
      </c>
      <c r="AG32" s="391" t="s">
        <v>164</v>
      </c>
      <c r="AH32" s="392" t="s">
        <v>164</v>
      </c>
      <c r="AI32" s="391" t="s">
        <v>164</v>
      </c>
      <c r="AJ32" s="392" t="s">
        <v>164</v>
      </c>
      <c r="AK32" s="391" t="s">
        <v>164</v>
      </c>
      <c r="AL32" s="393" t="s">
        <v>164</v>
      </c>
      <c r="AM32" s="391" t="s">
        <v>164</v>
      </c>
      <c r="AN32" s="394" t="s">
        <v>164</v>
      </c>
    </row>
    <row r="33" spans="1:40" ht="27.75" customHeight="1" hidden="1">
      <c r="A33" s="429" t="s">
        <v>237</v>
      </c>
      <c r="B33" s="386" t="s">
        <v>238</v>
      </c>
      <c r="C33" s="107">
        <v>861667</v>
      </c>
      <c r="D33" s="107">
        <v>186210</v>
      </c>
      <c r="E33" s="107">
        <v>861667</v>
      </c>
      <c r="F33" s="107">
        <v>186210</v>
      </c>
      <c r="G33" s="407">
        <v>0</v>
      </c>
      <c r="H33" s="407">
        <v>0</v>
      </c>
      <c r="I33" s="407">
        <v>0</v>
      </c>
      <c r="J33" s="407">
        <v>0</v>
      </c>
      <c r="K33" s="407">
        <v>0</v>
      </c>
      <c r="L33" s="407">
        <v>0</v>
      </c>
      <c r="M33" s="407">
        <v>0</v>
      </c>
      <c r="N33" s="407">
        <v>0</v>
      </c>
      <c r="O33" s="407">
        <v>0</v>
      </c>
      <c r="P33" s="408">
        <v>0</v>
      </c>
      <c r="Q33" s="407">
        <v>0</v>
      </c>
      <c r="R33" s="408">
        <v>0</v>
      </c>
      <c r="S33" s="407">
        <v>0</v>
      </c>
      <c r="T33" s="431">
        <v>0</v>
      </c>
      <c r="U33" s="405" t="s">
        <v>163</v>
      </c>
      <c r="V33" s="432" t="s">
        <v>163</v>
      </c>
      <c r="W33" s="391" t="s">
        <v>164</v>
      </c>
      <c r="X33" s="392" t="s">
        <v>164</v>
      </c>
      <c r="Y33" s="391" t="s">
        <v>164</v>
      </c>
      <c r="Z33" s="392" t="s">
        <v>164</v>
      </c>
      <c r="AA33" s="392" t="s">
        <v>164</v>
      </c>
      <c r="AB33" s="393" t="s">
        <v>164</v>
      </c>
      <c r="AC33" s="391" t="s">
        <v>164</v>
      </c>
      <c r="AD33" s="393" t="s">
        <v>164</v>
      </c>
      <c r="AE33" s="391" t="s">
        <v>164</v>
      </c>
      <c r="AF33" s="393" t="s">
        <v>164</v>
      </c>
      <c r="AG33" s="391" t="s">
        <v>164</v>
      </c>
      <c r="AH33" s="392" t="s">
        <v>164</v>
      </c>
      <c r="AI33" s="391" t="s">
        <v>164</v>
      </c>
      <c r="AJ33" s="392" t="s">
        <v>164</v>
      </c>
      <c r="AK33" s="391" t="s">
        <v>164</v>
      </c>
      <c r="AL33" s="393" t="s">
        <v>164</v>
      </c>
      <c r="AM33" s="391" t="s">
        <v>164</v>
      </c>
      <c r="AN33" s="394" t="s">
        <v>164</v>
      </c>
    </row>
    <row r="34" spans="1:40" ht="27.75" customHeight="1" hidden="1">
      <c r="A34" s="429" t="s">
        <v>239</v>
      </c>
      <c r="B34" s="386" t="s">
        <v>211</v>
      </c>
      <c r="C34" s="406">
        <v>0</v>
      </c>
      <c r="D34" s="406">
        <v>0</v>
      </c>
      <c r="E34" s="406">
        <v>0</v>
      </c>
      <c r="F34" s="406">
        <v>0</v>
      </c>
      <c r="G34" s="406">
        <v>6815</v>
      </c>
      <c r="H34" s="406">
        <v>4543</v>
      </c>
      <c r="I34" s="406">
        <v>6815</v>
      </c>
      <c r="J34" s="406">
        <v>4543</v>
      </c>
      <c r="K34" s="406">
        <v>6815</v>
      </c>
      <c r="L34" s="406">
        <v>4543</v>
      </c>
      <c r="M34" s="406">
        <v>6527</v>
      </c>
      <c r="N34" s="406">
        <v>4352</v>
      </c>
      <c r="O34" s="406">
        <v>0</v>
      </c>
      <c r="P34" s="424">
        <v>0</v>
      </c>
      <c r="Q34" s="406">
        <v>6527</v>
      </c>
      <c r="R34" s="424">
        <v>4352</v>
      </c>
      <c r="S34" s="406">
        <v>0</v>
      </c>
      <c r="T34" s="406">
        <v>0</v>
      </c>
      <c r="U34" s="406" t="s">
        <v>163</v>
      </c>
      <c r="V34" s="424" t="s">
        <v>163</v>
      </c>
      <c r="W34" s="391" t="s">
        <v>164</v>
      </c>
      <c r="X34" s="392" t="s">
        <v>164</v>
      </c>
      <c r="Y34" s="391" t="s">
        <v>164</v>
      </c>
      <c r="Z34" s="392" t="s">
        <v>164</v>
      </c>
      <c r="AA34" s="392" t="s">
        <v>164</v>
      </c>
      <c r="AB34" s="393" t="s">
        <v>164</v>
      </c>
      <c r="AC34" s="391" t="s">
        <v>164</v>
      </c>
      <c r="AD34" s="393" t="s">
        <v>164</v>
      </c>
      <c r="AE34" s="391" t="s">
        <v>164</v>
      </c>
      <c r="AF34" s="393" t="s">
        <v>164</v>
      </c>
      <c r="AG34" s="391" t="s">
        <v>164</v>
      </c>
      <c r="AH34" s="392" t="s">
        <v>164</v>
      </c>
      <c r="AI34" s="391" t="s">
        <v>164</v>
      </c>
      <c r="AJ34" s="392" t="s">
        <v>164</v>
      </c>
      <c r="AK34" s="391" t="s">
        <v>164</v>
      </c>
      <c r="AL34" s="393" t="s">
        <v>164</v>
      </c>
      <c r="AM34" s="391" t="s">
        <v>164</v>
      </c>
      <c r="AN34" s="394" t="s">
        <v>164</v>
      </c>
    </row>
    <row r="35" spans="1:40" ht="27.75" customHeight="1" hidden="1">
      <c r="A35" s="429" t="s">
        <v>240</v>
      </c>
      <c r="B35" s="386" t="s">
        <v>236</v>
      </c>
      <c r="C35" s="406">
        <v>0</v>
      </c>
      <c r="D35" s="406">
        <v>0</v>
      </c>
      <c r="E35" s="406">
        <v>0</v>
      </c>
      <c r="F35" s="406">
        <v>0</v>
      </c>
      <c r="G35" s="406">
        <v>365277</v>
      </c>
      <c r="H35" s="406">
        <v>45660</v>
      </c>
      <c r="I35" s="406">
        <v>365277</v>
      </c>
      <c r="J35" s="406">
        <v>45660</v>
      </c>
      <c r="K35" s="406">
        <v>365277</v>
      </c>
      <c r="L35" s="406">
        <v>45660</v>
      </c>
      <c r="M35" s="406">
        <v>356630</v>
      </c>
      <c r="N35" s="406">
        <v>44579</v>
      </c>
      <c r="O35" s="406">
        <v>356630</v>
      </c>
      <c r="P35" s="424">
        <v>44579</v>
      </c>
      <c r="Q35" s="407">
        <v>0</v>
      </c>
      <c r="R35" s="408">
        <v>0</v>
      </c>
      <c r="S35" s="407">
        <v>0</v>
      </c>
      <c r="T35" s="407">
        <v>0</v>
      </c>
      <c r="U35" s="406" t="s">
        <v>163</v>
      </c>
      <c r="V35" s="424" t="s">
        <v>163</v>
      </c>
      <c r="W35" s="391" t="s">
        <v>164</v>
      </c>
      <c r="X35" s="392" t="s">
        <v>164</v>
      </c>
      <c r="Y35" s="391" t="s">
        <v>164</v>
      </c>
      <c r="Z35" s="392" t="s">
        <v>164</v>
      </c>
      <c r="AA35" s="392" t="s">
        <v>164</v>
      </c>
      <c r="AB35" s="393" t="s">
        <v>164</v>
      </c>
      <c r="AC35" s="391" t="s">
        <v>164</v>
      </c>
      <c r="AD35" s="393" t="s">
        <v>164</v>
      </c>
      <c r="AE35" s="391" t="s">
        <v>164</v>
      </c>
      <c r="AF35" s="393" t="s">
        <v>164</v>
      </c>
      <c r="AG35" s="391" t="s">
        <v>164</v>
      </c>
      <c r="AH35" s="392" t="s">
        <v>164</v>
      </c>
      <c r="AI35" s="391" t="s">
        <v>164</v>
      </c>
      <c r="AJ35" s="392" t="s">
        <v>164</v>
      </c>
      <c r="AK35" s="391" t="s">
        <v>164</v>
      </c>
      <c r="AL35" s="393" t="s">
        <v>164</v>
      </c>
      <c r="AM35" s="391" t="s">
        <v>164</v>
      </c>
      <c r="AN35" s="394" t="s">
        <v>164</v>
      </c>
    </row>
    <row r="36" spans="1:40" ht="27.75" customHeight="1" hidden="1">
      <c r="A36" s="429" t="s">
        <v>241</v>
      </c>
      <c r="B36" s="386" t="s">
        <v>242</v>
      </c>
      <c r="C36" s="405">
        <v>0</v>
      </c>
      <c r="D36" s="405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4020864</v>
      </c>
      <c r="J36" s="406">
        <v>1889806</v>
      </c>
      <c r="K36" s="406">
        <v>4208563</v>
      </c>
      <c r="L36" s="406">
        <v>1851768</v>
      </c>
      <c r="M36" s="406">
        <v>0</v>
      </c>
      <c r="N36" s="406">
        <v>0</v>
      </c>
      <c r="O36" s="406">
        <v>0</v>
      </c>
      <c r="P36" s="424">
        <v>0</v>
      </c>
      <c r="Q36" s="407">
        <v>0</v>
      </c>
      <c r="R36" s="424">
        <v>0</v>
      </c>
      <c r="S36" s="407">
        <v>0</v>
      </c>
      <c r="T36" s="406">
        <v>0</v>
      </c>
      <c r="U36" s="406" t="s">
        <v>163</v>
      </c>
      <c r="V36" s="424" t="s">
        <v>163</v>
      </c>
      <c r="W36" s="391" t="s">
        <v>164</v>
      </c>
      <c r="X36" s="392" t="s">
        <v>164</v>
      </c>
      <c r="Y36" s="391" t="s">
        <v>164</v>
      </c>
      <c r="Z36" s="392" t="s">
        <v>164</v>
      </c>
      <c r="AA36" s="392" t="s">
        <v>164</v>
      </c>
      <c r="AB36" s="393" t="s">
        <v>164</v>
      </c>
      <c r="AC36" s="391" t="s">
        <v>164</v>
      </c>
      <c r="AD36" s="393" t="s">
        <v>164</v>
      </c>
      <c r="AE36" s="391" t="s">
        <v>164</v>
      </c>
      <c r="AF36" s="393" t="s">
        <v>164</v>
      </c>
      <c r="AG36" s="391" t="s">
        <v>164</v>
      </c>
      <c r="AH36" s="392" t="s">
        <v>164</v>
      </c>
      <c r="AI36" s="391" t="s">
        <v>164</v>
      </c>
      <c r="AJ36" s="392" t="s">
        <v>164</v>
      </c>
      <c r="AK36" s="391" t="s">
        <v>164</v>
      </c>
      <c r="AL36" s="393" t="s">
        <v>164</v>
      </c>
      <c r="AM36" s="391" t="s">
        <v>164</v>
      </c>
      <c r="AN36" s="394" t="s">
        <v>164</v>
      </c>
    </row>
    <row r="37" spans="1:40" ht="27.75" customHeight="1" hidden="1">
      <c r="A37" s="429" t="s">
        <v>243</v>
      </c>
      <c r="B37" s="433" t="s">
        <v>244</v>
      </c>
      <c r="C37" s="405">
        <v>0</v>
      </c>
      <c r="D37" s="405">
        <v>0</v>
      </c>
      <c r="E37" s="406">
        <v>0</v>
      </c>
      <c r="F37" s="406">
        <v>0</v>
      </c>
      <c r="G37" s="406">
        <v>0</v>
      </c>
      <c r="H37" s="406">
        <v>0</v>
      </c>
      <c r="I37" s="406">
        <v>773877</v>
      </c>
      <c r="J37" s="406">
        <v>366751</v>
      </c>
      <c r="K37" s="406">
        <v>773877</v>
      </c>
      <c r="L37" s="406">
        <v>351470</v>
      </c>
      <c r="M37" s="406">
        <v>741279</v>
      </c>
      <c r="N37" s="406">
        <v>321938</v>
      </c>
      <c r="O37" s="406">
        <v>741279</v>
      </c>
      <c r="P37" s="424">
        <v>307304</v>
      </c>
      <c r="Q37" s="406">
        <v>0</v>
      </c>
      <c r="R37" s="410">
        <v>0</v>
      </c>
      <c r="S37" s="406">
        <v>0</v>
      </c>
      <c r="T37" s="406">
        <v>0</v>
      </c>
      <c r="U37" s="406" t="s">
        <v>163</v>
      </c>
      <c r="V37" s="424" t="s">
        <v>163</v>
      </c>
      <c r="W37" s="391" t="s">
        <v>164</v>
      </c>
      <c r="X37" s="392" t="s">
        <v>164</v>
      </c>
      <c r="Y37" s="391" t="s">
        <v>164</v>
      </c>
      <c r="Z37" s="392" t="s">
        <v>164</v>
      </c>
      <c r="AA37" s="392" t="s">
        <v>164</v>
      </c>
      <c r="AB37" s="393" t="s">
        <v>164</v>
      </c>
      <c r="AC37" s="391" t="s">
        <v>164</v>
      </c>
      <c r="AD37" s="393" t="s">
        <v>164</v>
      </c>
      <c r="AE37" s="391" t="s">
        <v>164</v>
      </c>
      <c r="AF37" s="393" t="s">
        <v>164</v>
      </c>
      <c r="AG37" s="391" t="s">
        <v>164</v>
      </c>
      <c r="AH37" s="392" t="s">
        <v>164</v>
      </c>
      <c r="AI37" s="391" t="s">
        <v>164</v>
      </c>
      <c r="AJ37" s="392" t="s">
        <v>164</v>
      </c>
      <c r="AK37" s="391" t="s">
        <v>164</v>
      </c>
      <c r="AL37" s="393" t="s">
        <v>164</v>
      </c>
      <c r="AM37" s="391" t="s">
        <v>164</v>
      </c>
      <c r="AN37" s="394" t="s">
        <v>164</v>
      </c>
    </row>
    <row r="38" spans="1:40" ht="27.75" customHeight="1">
      <c r="A38" s="400" t="s">
        <v>245</v>
      </c>
      <c r="B38" s="197" t="s">
        <v>246</v>
      </c>
      <c r="C38" s="189">
        <v>25061</v>
      </c>
      <c r="D38" s="189">
        <v>10024</v>
      </c>
      <c r="E38" s="107">
        <v>25061</v>
      </c>
      <c r="F38" s="107">
        <v>10024</v>
      </c>
      <c r="G38" s="107">
        <v>21745</v>
      </c>
      <c r="H38" s="107">
        <v>8698</v>
      </c>
      <c r="I38" s="107">
        <v>21745</v>
      </c>
      <c r="J38" s="107">
        <v>8698</v>
      </c>
      <c r="K38" s="107">
        <v>21745</v>
      </c>
      <c r="L38" s="107">
        <v>8698</v>
      </c>
      <c r="M38" s="107">
        <v>20544</v>
      </c>
      <c r="N38" s="107">
        <v>8217</v>
      </c>
      <c r="O38" s="107">
        <v>20544</v>
      </c>
      <c r="P38" s="109">
        <v>8218</v>
      </c>
      <c r="Q38" s="107">
        <v>20544</v>
      </c>
      <c r="R38" s="109">
        <v>8217</v>
      </c>
      <c r="S38" s="107">
        <v>17768</v>
      </c>
      <c r="T38" s="107">
        <v>7107</v>
      </c>
      <c r="U38" s="107">
        <v>17768</v>
      </c>
      <c r="V38" s="109">
        <v>7107</v>
      </c>
      <c r="W38" s="107">
        <v>17768</v>
      </c>
      <c r="X38" s="397">
        <v>7107</v>
      </c>
      <c r="Y38" s="107">
        <v>16564</v>
      </c>
      <c r="Z38" s="397">
        <v>6626</v>
      </c>
      <c r="AA38" s="397">
        <v>16564</v>
      </c>
      <c r="AB38" s="108">
        <v>6626</v>
      </c>
      <c r="AC38" s="107">
        <v>16565</v>
      </c>
      <c r="AD38" s="108">
        <v>6626</v>
      </c>
      <c r="AE38" s="391" t="s">
        <v>163</v>
      </c>
      <c r="AF38" s="393" t="s">
        <v>163</v>
      </c>
      <c r="AG38" s="391" t="s">
        <v>163</v>
      </c>
      <c r="AH38" s="392" t="s">
        <v>163</v>
      </c>
      <c r="AI38" s="391" t="s">
        <v>163</v>
      </c>
      <c r="AJ38" s="392" t="s">
        <v>163</v>
      </c>
      <c r="AK38" s="391" t="s">
        <v>163</v>
      </c>
      <c r="AL38" s="393" t="s">
        <v>163</v>
      </c>
      <c r="AM38" s="107">
        <v>85792</v>
      </c>
      <c r="AN38" s="404">
        <v>85792</v>
      </c>
    </row>
    <row r="39" spans="1:40" ht="27.75" customHeight="1">
      <c r="A39" s="625" t="s">
        <v>56</v>
      </c>
      <c r="B39" s="626"/>
      <c r="C39" s="107">
        <f aca="true" t="shared" si="2" ref="C39:AD39">SUM(C23:C37)</f>
        <v>6405879</v>
      </c>
      <c r="D39" s="107">
        <f t="shared" si="2"/>
        <v>2924724</v>
      </c>
      <c r="E39" s="107">
        <f t="shared" si="2"/>
        <v>6445036</v>
      </c>
      <c r="F39" s="107">
        <f t="shared" si="2"/>
        <v>2938833</v>
      </c>
      <c r="G39" s="107">
        <f t="shared" si="2"/>
        <v>5429219</v>
      </c>
      <c r="H39" s="107">
        <f t="shared" si="2"/>
        <v>2571953</v>
      </c>
      <c r="I39" s="107">
        <f t="shared" si="2"/>
        <v>5430464</v>
      </c>
      <c r="J39" s="107">
        <f t="shared" si="2"/>
        <v>2435680</v>
      </c>
      <c r="K39" s="107">
        <f t="shared" si="2"/>
        <v>7017569</v>
      </c>
      <c r="L39" s="107">
        <f t="shared" si="2"/>
        <v>3082064</v>
      </c>
      <c r="M39" s="107">
        <f>SUM(M23:M37)</f>
        <v>6839143</v>
      </c>
      <c r="N39" s="107">
        <f>SUM(N23:N37)</f>
        <v>2823340</v>
      </c>
      <c r="O39" s="107">
        <f>SUM(O23:O37)</f>
        <v>6821145</v>
      </c>
      <c r="P39" s="109">
        <f>SUM(P23:P37)</f>
        <v>2798922</v>
      </c>
      <c r="Q39" s="107">
        <f t="shared" si="2"/>
        <v>6417080</v>
      </c>
      <c r="R39" s="109">
        <f t="shared" si="2"/>
        <v>2727185</v>
      </c>
      <c r="S39" s="107">
        <f t="shared" si="2"/>
        <v>5837466</v>
      </c>
      <c r="T39" s="109">
        <f t="shared" si="2"/>
        <v>2481782</v>
      </c>
      <c r="U39" s="107">
        <f t="shared" si="2"/>
        <v>5904327</v>
      </c>
      <c r="V39" s="109">
        <f t="shared" si="2"/>
        <v>2382070</v>
      </c>
      <c r="W39" s="107">
        <f t="shared" si="2"/>
        <v>6209072</v>
      </c>
      <c r="X39" s="107">
        <f t="shared" si="2"/>
        <v>2504181</v>
      </c>
      <c r="Y39" s="107">
        <f t="shared" si="2"/>
        <v>6141909</v>
      </c>
      <c r="Z39" s="397">
        <f t="shared" si="2"/>
        <v>2478641</v>
      </c>
      <c r="AA39" s="397">
        <f t="shared" si="2"/>
        <v>6243963</v>
      </c>
      <c r="AB39" s="108">
        <f t="shared" si="2"/>
        <v>2194613</v>
      </c>
      <c r="AC39" s="107">
        <f t="shared" si="2"/>
        <v>6586935</v>
      </c>
      <c r="AD39" s="108">
        <f t="shared" si="2"/>
        <v>2285998</v>
      </c>
      <c r="AE39" s="107">
        <f aca="true" t="shared" si="3" ref="AE39:AN39">SUM(AE23:AE38)</f>
        <v>6569353</v>
      </c>
      <c r="AF39" s="107">
        <f t="shared" si="3"/>
        <v>2211021</v>
      </c>
      <c r="AG39" s="107">
        <f t="shared" si="3"/>
        <v>6624033</v>
      </c>
      <c r="AH39" s="107">
        <f t="shared" si="3"/>
        <v>2220907</v>
      </c>
      <c r="AI39" s="107">
        <f t="shared" si="3"/>
        <v>5943514</v>
      </c>
      <c r="AJ39" s="107">
        <f t="shared" si="3"/>
        <v>2249676</v>
      </c>
      <c r="AK39" s="107">
        <f t="shared" si="3"/>
        <v>5800576</v>
      </c>
      <c r="AL39" s="107">
        <f t="shared" si="3"/>
        <v>2239241</v>
      </c>
      <c r="AM39" s="107">
        <f t="shared" si="3"/>
        <v>6005836</v>
      </c>
      <c r="AN39" s="110">
        <f t="shared" si="3"/>
        <v>2335635</v>
      </c>
    </row>
    <row r="40" spans="1:40" ht="27.75" customHeight="1" thickBot="1">
      <c r="A40" s="627" t="s">
        <v>67</v>
      </c>
      <c r="B40" s="628"/>
      <c r="C40" s="411">
        <v>100</v>
      </c>
      <c r="D40" s="411">
        <v>100</v>
      </c>
      <c r="E40" s="207">
        <f aca="true" t="shared" si="4" ref="E40:AL40">ROUND((E39/C39)*100,1)</f>
        <v>100.6</v>
      </c>
      <c r="F40" s="207">
        <f t="shared" si="4"/>
        <v>100.5</v>
      </c>
      <c r="G40" s="207">
        <f t="shared" si="4"/>
        <v>84.2</v>
      </c>
      <c r="H40" s="207">
        <f t="shared" si="4"/>
        <v>87.5</v>
      </c>
      <c r="I40" s="412">
        <f t="shared" si="4"/>
        <v>100</v>
      </c>
      <c r="J40" s="412">
        <f t="shared" si="4"/>
        <v>94.7</v>
      </c>
      <c r="K40" s="207">
        <f t="shared" si="4"/>
        <v>129.2</v>
      </c>
      <c r="L40" s="207">
        <f t="shared" si="4"/>
        <v>126.5</v>
      </c>
      <c r="M40" s="207">
        <f t="shared" si="4"/>
        <v>97.5</v>
      </c>
      <c r="N40" s="207">
        <f t="shared" si="4"/>
        <v>91.6</v>
      </c>
      <c r="O40" s="207">
        <f t="shared" si="4"/>
        <v>99.7</v>
      </c>
      <c r="P40" s="413">
        <f t="shared" si="4"/>
        <v>99.1</v>
      </c>
      <c r="Q40" s="207">
        <f t="shared" si="4"/>
        <v>94.1</v>
      </c>
      <c r="R40" s="413">
        <f t="shared" si="4"/>
        <v>97.4</v>
      </c>
      <c r="S40" s="207">
        <f t="shared" si="4"/>
        <v>91</v>
      </c>
      <c r="T40" s="413">
        <f t="shared" si="4"/>
        <v>91</v>
      </c>
      <c r="U40" s="207">
        <f t="shared" si="4"/>
        <v>101.1</v>
      </c>
      <c r="V40" s="413">
        <f t="shared" si="4"/>
        <v>96</v>
      </c>
      <c r="W40" s="411">
        <f t="shared" si="4"/>
        <v>105.2</v>
      </c>
      <c r="X40" s="411">
        <f t="shared" si="4"/>
        <v>105.1</v>
      </c>
      <c r="Y40" s="112">
        <f t="shared" si="4"/>
        <v>98.9</v>
      </c>
      <c r="Z40" s="415">
        <f t="shared" si="4"/>
        <v>99</v>
      </c>
      <c r="AA40" s="415">
        <f t="shared" si="4"/>
        <v>101.7</v>
      </c>
      <c r="AB40" s="113">
        <f t="shared" si="4"/>
        <v>88.5</v>
      </c>
      <c r="AC40" s="112">
        <f t="shared" si="4"/>
        <v>105.5</v>
      </c>
      <c r="AD40" s="113">
        <f t="shared" si="4"/>
        <v>104.2</v>
      </c>
      <c r="AE40" s="112">
        <f t="shared" si="4"/>
        <v>99.7</v>
      </c>
      <c r="AF40" s="113">
        <f t="shared" si="4"/>
        <v>96.7</v>
      </c>
      <c r="AG40" s="112">
        <f t="shared" si="4"/>
        <v>100.8</v>
      </c>
      <c r="AH40" s="415">
        <f t="shared" si="4"/>
        <v>100.4</v>
      </c>
      <c r="AI40" s="112">
        <f t="shared" si="4"/>
        <v>89.7</v>
      </c>
      <c r="AJ40" s="415">
        <f t="shared" si="4"/>
        <v>101.3</v>
      </c>
      <c r="AK40" s="112">
        <f t="shared" si="4"/>
        <v>97.6</v>
      </c>
      <c r="AL40" s="113">
        <f t="shared" si="4"/>
        <v>99.5</v>
      </c>
      <c r="AM40" s="112">
        <f>ROUND((AM39/AK39)*100,1)</f>
        <v>103.5</v>
      </c>
      <c r="AN40" s="416">
        <f>ROUND((AN39/AL39)*100,1)</f>
        <v>104.3</v>
      </c>
    </row>
    <row r="41" spans="1:40" ht="21" customHeight="1">
      <c r="A41" s="371" t="s">
        <v>247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</row>
  </sheetData>
  <sheetProtection/>
  <mergeCells count="44"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15:B15"/>
    <mergeCell ref="A16:B16"/>
    <mergeCell ref="A21:B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K21:AL21"/>
    <mergeCell ref="AM21:AN21"/>
    <mergeCell ref="A39:B39"/>
    <mergeCell ref="A40:B40"/>
    <mergeCell ref="Y21:Z21"/>
    <mergeCell ref="AA21:AB21"/>
    <mergeCell ref="AC21:AD21"/>
    <mergeCell ref="AE21:AF21"/>
    <mergeCell ref="AG21:AH21"/>
    <mergeCell ref="AI21:AJ21"/>
  </mergeCells>
  <printOptions horizontalCentered="1"/>
  <pageMargins left="0.5905511811023623" right="0.5905511811023623" top="0.3937007874015748" bottom="0.1968503937007874" header="0.5905511811023623" footer="0.1968503937007874"/>
  <pageSetup fitToWidth="0" horizontalDpi="300" verticalDpi="300" orientation="portrait" paperSize="9" scale="89" r:id="rId1"/>
  <rowBreaks count="1" manualBreakCount="1">
    <brk id="41" max="37" man="1"/>
  </rowBreaks>
  <colBreaks count="1" manualBreakCount="1">
    <brk id="34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125" style="435" customWidth="1"/>
    <col min="2" max="2" width="26.75390625" style="435" customWidth="1"/>
    <col min="3" max="3" width="9.875" style="435" hidden="1" customWidth="1"/>
    <col min="4" max="4" width="11.00390625" style="435" hidden="1" customWidth="1"/>
    <col min="5" max="5" width="9.75390625" style="435" hidden="1" customWidth="1"/>
    <col min="6" max="6" width="11.00390625" style="435" hidden="1" customWidth="1"/>
    <col min="7" max="7" width="9.75390625" style="435" hidden="1" customWidth="1"/>
    <col min="8" max="8" width="11.00390625" style="435" hidden="1" customWidth="1"/>
    <col min="9" max="9" width="9.75390625" style="435" hidden="1" customWidth="1"/>
    <col min="10" max="10" width="11.00390625" style="435" hidden="1" customWidth="1"/>
    <col min="11" max="11" width="9.75390625" style="435" hidden="1" customWidth="1"/>
    <col min="12" max="12" width="11.00390625" style="435" hidden="1" customWidth="1"/>
    <col min="13" max="13" width="9.75390625" style="435" hidden="1" customWidth="1"/>
    <col min="14" max="14" width="11.00390625" style="435" hidden="1" customWidth="1"/>
    <col min="15" max="15" width="9.75390625" style="435" hidden="1" customWidth="1"/>
    <col min="16" max="16" width="11.00390625" style="435" hidden="1" customWidth="1"/>
    <col min="17" max="17" width="9.75390625" style="435" hidden="1" customWidth="1"/>
    <col min="18" max="18" width="11.00390625" style="435" hidden="1" customWidth="1"/>
    <col min="19" max="19" width="9.75390625" style="435" hidden="1" customWidth="1"/>
    <col min="20" max="20" width="11.00390625" style="435" hidden="1" customWidth="1"/>
    <col min="21" max="21" width="9.75390625" style="435" hidden="1" customWidth="1"/>
    <col min="22" max="24" width="11.00390625" style="435" hidden="1" customWidth="1"/>
    <col min="25" max="25" width="10.00390625" style="435" hidden="1" customWidth="1"/>
    <col min="26" max="26" width="10.50390625" style="435" hidden="1" customWidth="1"/>
    <col min="27" max="27" width="10.25390625" style="435" hidden="1" customWidth="1"/>
    <col min="28" max="28" width="10.375" style="435" hidden="1" customWidth="1"/>
    <col min="29" max="29" width="11.00390625" style="435" hidden="1" customWidth="1"/>
    <col min="30" max="30" width="11.50390625" style="435" hidden="1" customWidth="1"/>
    <col min="31" max="31" width="10.75390625" style="435" customWidth="1"/>
    <col min="32" max="32" width="11.375" style="435" customWidth="1"/>
    <col min="33" max="33" width="10.50390625" style="435" customWidth="1"/>
    <col min="34" max="34" width="12.00390625" style="435" customWidth="1"/>
    <col min="35" max="35" width="10.50390625" style="435" customWidth="1"/>
    <col min="36" max="36" width="12.00390625" style="435" customWidth="1"/>
    <col min="37" max="37" width="10.50390625" style="435" customWidth="1"/>
    <col min="38" max="38" width="12.00390625" style="435" customWidth="1"/>
    <col min="39" max="39" width="10.50390625" style="435" customWidth="1"/>
    <col min="40" max="40" width="12.00390625" style="435" customWidth="1"/>
    <col min="41" max="16384" width="9.00390625" style="435" customWidth="1"/>
  </cols>
  <sheetData>
    <row r="1" spans="1:40" ht="15.75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</row>
    <row r="2" spans="1:40" ht="21.75" customHeight="1">
      <c r="A2" s="436" t="s">
        <v>248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</row>
    <row r="3" spans="1:40" ht="21" customHeight="1" thickBot="1">
      <c r="A3" s="434" t="s">
        <v>249</v>
      </c>
      <c r="B3" s="434"/>
      <c r="C3" s="434"/>
      <c r="D3" s="437"/>
      <c r="E3" s="434"/>
      <c r="F3" s="437"/>
      <c r="G3" s="434"/>
      <c r="H3" s="437"/>
      <c r="I3" s="434"/>
      <c r="J3" s="437"/>
      <c r="K3" s="434"/>
      <c r="L3" s="437"/>
      <c r="M3" s="434"/>
      <c r="N3" s="437"/>
      <c r="O3" s="434"/>
      <c r="P3" s="437"/>
      <c r="Q3" s="434"/>
      <c r="R3" s="437"/>
      <c r="S3" s="434"/>
      <c r="T3" s="437"/>
      <c r="U3" s="434"/>
      <c r="V3" s="437"/>
      <c r="W3" s="437"/>
      <c r="X3" s="437"/>
      <c r="Y3" s="434"/>
      <c r="Z3" s="437"/>
      <c r="AA3" s="434"/>
      <c r="AB3" s="437"/>
      <c r="AC3" s="434"/>
      <c r="AD3" s="437"/>
      <c r="AE3" s="434"/>
      <c r="AF3" s="437"/>
      <c r="AG3" s="434"/>
      <c r="AH3" s="437"/>
      <c r="AI3" s="434"/>
      <c r="AJ3" s="437"/>
      <c r="AK3" s="434"/>
      <c r="AL3" s="437"/>
      <c r="AM3" s="434"/>
      <c r="AN3" s="437" t="s">
        <v>49</v>
      </c>
    </row>
    <row r="4" spans="1:40" ht="13.5" customHeight="1">
      <c r="A4" s="725" t="s">
        <v>250</v>
      </c>
      <c r="B4" s="726"/>
      <c r="C4" s="722" t="s">
        <v>36</v>
      </c>
      <c r="D4" s="722"/>
      <c r="E4" s="722" t="s">
        <v>86</v>
      </c>
      <c r="F4" s="722"/>
      <c r="G4" s="722" t="s">
        <v>37</v>
      </c>
      <c r="H4" s="722"/>
      <c r="I4" s="722" t="s">
        <v>38</v>
      </c>
      <c r="J4" s="722"/>
      <c r="K4" s="722" t="s">
        <v>39</v>
      </c>
      <c r="L4" s="722"/>
      <c r="M4" s="722" t="s">
        <v>40</v>
      </c>
      <c r="N4" s="722"/>
      <c r="O4" s="722" t="s">
        <v>41</v>
      </c>
      <c r="P4" s="723"/>
      <c r="Q4" s="722" t="s">
        <v>42</v>
      </c>
      <c r="R4" s="723"/>
      <c r="S4" s="723" t="s">
        <v>162</v>
      </c>
      <c r="T4" s="724"/>
      <c r="U4" s="723" t="s">
        <v>19</v>
      </c>
      <c r="V4" s="724"/>
      <c r="W4" s="710" t="s">
        <v>132</v>
      </c>
      <c r="X4" s="721"/>
      <c r="Y4" s="710" t="s">
        <v>133</v>
      </c>
      <c r="Z4" s="721"/>
      <c r="AA4" s="711" t="s">
        <v>24</v>
      </c>
      <c r="AB4" s="721"/>
      <c r="AC4" s="710" t="s">
        <v>25</v>
      </c>
      <c r="AD4" s="711"/>
      <c r="AE4" s="710" t="s">
        <v>46</v>
      </c>
      <c r="AF4" s="711"/>
      <c r="AG4" s="710" t="s">
        <v>251</v>
      </c>
      <c r="AH4" s="721"/>
      <c r="AI4" s="710" t="s">
        <v>252</v>
      </c>
      <c r="AJ4" s="721"/>
      <c r="AK4" s="710" t="s">
        <v>253</v>
      </c>
      <c r="AL4" s="711"/>
      <c r="AM4" s="710" t="s">
        <v>254</v>
      </c>
      <c r="AN4" s="712"/>
    </row>
    <row r="5" spans="1:40" ht="12" customHeight="1">
      <c r="A5" s="727"/>
      <c r="B5" s="728"/>
      <c r="C5" s="438" t="s">
        <v>202</v>
      </c>
      <c r="D5" s="438" t="s">
        <v>203</v>
      </c>
      <c r="E5" s="439" t="s">
        <v>202</v>
      </c>
      <c r="F5" s="438" t="s">
        <v>203</v>
      </c>
      <c r="G5" s="438" t="s">
        <v>202</v>
      </c>
      <c r="H5" s="438" t="s">
        <v>203</v>
      </c>
      <c r="I5" s="438" t="s">
        <v>202</v>
      </c>
      <c r="J5" s="438" t="s">
        <v>203</v>
      </c>
      <c r="K5" s="438" t="s">
        <v>202</v>
      </c>
      <c r="L5" s="438" t="s">
        <v>203</v>
      </c>
      <c r="M5" s="438" t="s">
        <v>202</v>
      </c>
      <c r="N5" s="438" t="s">
        <v>203</v>
      </c>
      <c r="O5" s="438" t="s">
        <v>202</v>
      </c>
      <c r="P5" s="439" t="s">
        <v>203</v>
      </c>
      <c r="Q5" s="438" t="s">
        <v>202</v>
      </c>
      <c r="R5" s="439" t="s">
        <v>203</v>
      </c>
      <c r="S5" s="438" t="s">
        <v>202</v>
      </c>
      <c r="T5" s="438" t="s">
        <v>203</v>
      </c>
      <c r="U5" s="438" t="s">
        <v>202</v>
      </c>
      <c r="V5" s="438" t="s">
        <v>203</v>
      </c>
      <c r="W5" s="440" t="s">
        <v>202</v>
      </c>
      <c r="X5" s="441" t="s">
        <v>203</v>
      </c>
      <c r="Y5" s="440" t="s">
        <v>202</v>
      </c>
      <c r="Z5" s="441" t="s">
        <v>203</v>
      </c>
      <c r="AA5" s="442" t="s">
        <v>202</v>
      </c>
      <c r="AB5" s="441" t="s">
        <v>203</v>
      </c>
      <c r="AC5" s="440" t="s">
        <v>202</v>
      </c>
      <c r="AD5" s="443" t="s">
        <v>203</v>
      </c>
      <c r="AE5" s="440" t="s">
        <v>202</v>
      </c>
      <c r="AF5" s="443" t="s">
        <v>203</v>
      </c>
      <c r="AG5" s="440" t="s">
        <v>202</v>
      </c>
      <c r="AH5" s="441" t="s">
        <v>203</v>
      </c>
      <c r="AI5" s="440" t="s">
        <v>202</v>
      </c>
      <c r="AJ5" s="441" t="s">
        <v>203</v>
      </c>
      <c r="AK5" s="440" t="s">
        <v>202</v>
      </c>
      <c r="AL5" s="443" t="s">
        <v>203</v>
      </c>
      <c r="AM5" s="440" t="s">
        <v>202</v>
      </c>
      <c r="AN5" s="444" t="s">
        <v>203</v>
      </c>
    </row>
    <row r="6" spans="1:40" ht="15" customHeight="1" hidden="1">
      <c r="A6" s="445" t="s">
        <v>255</v>
      </c>
      <c r="B6" s="446"/>
      <c r="C6" s="447" t="s">
        <v>100</v>
      </c>
      <c r="D6" s="447"/>
      <c r="E6" s="448" t="s">
        <v>100</v>
      </c>
      <c r="F6" s="447"/>
      <c r="G6" s="448" t="s">
        <v>256</v>
      </c>
      <c r="H6" s="447"/>
      <c r="I6" s="448" t="s">
        <v>256</v>
      </c>
      <c r="J6" s="447"/>
      <c r="K6" s="448" t="s">
        <v>256</v>
      </c>
      <c r="L6" s="447"/>
      <c r="M6" s="448" t="s">
        <v>256</v>
      </c>
      <c r="N6" s="447"/>
      <c r="O6" s="448" t="s">
        <v>256</v>
      </c>
      <c r="P6" s="449"/>
      <c r="Q6" s="448" t="s">
        <v>256</v>
      </c>
      <c r="R6" s="449"/>
      <c r="S6" s="448" t="s">
        <v>256</v>
      </c>
      <c r="T6" s="447"/>
      <c r="U6" s="447"/>
      <c r="V6" s="447"/>
      <c r="W6" s="447"/>
      <c r="X6" s="450"/>
      <c r="Y6" s="447"/>
      <c r="Z6" s="450"/>
      <c r="AA6" s="450"/>
      <c r="AB6" s="450"/>
      <c r="AC6" s="447"/>
      <c r="AD6" s="434"/>
      <c r="AE6" s="447"/>
      <c r="AF6" s="434"/>
      <c r="AG6" s="447"/>
      <c r="AH6" s="450"/>
      <c r="AI6" s="447"/>
      <c r="AJ6" s="450"/>
      <c r="AK6" s="447"/>
      <c r="AL6" s="434"/>
      <c r="AM6" s="447"/>
      <c r="AN6" s="451"/>
    </row>
    <row r="7" spans="1:40" ht="9.75" customHeight="1" hidden="1">
      <c r="A7" s="445" t="s">
        <v>257</v>
      </c>
      <c r="B7" s="446" t="s">
        <v>258</v>
      </c>
      <c r="C7" s="452">
        <v>0</v>
      </c>
      <c r="D7" s="452">
        <v>0</v>
      </c>
      <c r="E7" s="453">
        <v>0</v>
      </c>
      <c r="F7" s="452">
        <v>0</v>
      </c>
      <c r="G7" s="452">
        <v>0</v>
      </c>
      <c r="H7" s="452">
        <v>0</v>
      </c>
      <c r="I7" s="452">
        <v>0</v>
      </c>
      <c r="J7" s="452">
        <v>0</v>
      </c>
      <c r="K7" s="452">
        <v>0</v>
      </c>
      <c r="L7" s="452">
        <v>0</v>
      </c>
      <c r="M7" s="452">
        <v>0</v>
      </c>
      <c r="N7" s="452">
        <v>0</v>
      </c>
      <c r="O7" s="452">
        <v>0</v>
      </c>
      <c r="P7" s="453">
        <v>0</v>
      </c>
      <c r="Q7" s="452">
        <v>0</v>
      </c>
      <c r="R7" s="453">
        <v>0</v>
      </c>
      <c r="S7" s="452">
        <v>0</v>
      </c>
      <c r="T7" s="452">
        <v>0</v>
      </c>
      <c r="U7" s="452"/>
      <c r="V7" s="452"/>
      <c r="W7" s="447"/>
      <c r="X7" s="450"/>
      <c r="Y7" s="447"/>
      <c r="Z7" s="450"/>
      <c r="AA7" s="450"/>
      <c r="AB7" s="450"/>
      <c r="AC7" s="447"/>
      <c r="AD7" s="434"/>
      <c r="AE7" s="447"/>
      <c r="AF7" s="434"/>
      <c r="AG7" s="447"/>
      <c r="AH7" s="450"/>
      <c r="AI7" s="447"/>
      <c r="AJ7" s="450"/>
      <c r="AK7" s="447"/>
      <c r="AL7" s="434"/>
      <c r="AM7" s="447"/>
      <c r="AN7" s="451"/>
    </row>
    <row r="8" spans="1:40" ht="16.5" customHeight="1" hidden="1">
      <c r="A8" s="445"/>
      <c r="B8" s="446" t="s">
        <v>259</v>
      </c>
      <c r="C8" s="452">
        <v>0</v>
      </c>
      <c r="D8" s="452">
        <v>0</v>
      </c>
      <c r="E8" s="453">
        <v>0</v>
      </c>
      <c r="F8" s="452">
        <v>0</v>
      </c>
      <c r="G8" s="452">
        <v>0</v>
      </c>
      <c r="H8" s="452">
        <v>0</v>
      </c>
      <c r="I8" s="452">
        <v>0</v>
      </c>
      <c r="J8" s="452">
        <v>0</v>
      </c>
      <c r="K8" s="452">
        <v>0</v>
      </c>
      <c r="L8" s="452">
        <v>0</v>
      </c>
      <c r="M8" s="452">
        <v>0</v>
      </c>
      <c r="N8" s="452">
        <v>0</v>
      </c>
      <c r="O8" s="452">
        <v>0</v>
      </c>
      <c r="P8" s="453">
        <v>0</v>
      </c>
      <c r="Q8" s="452">
        <v>0</v>
      </c>
      <c r="R8" s="453">
        <v>0</v>
      </c>
      <c r="S8" s="452">
        <v>0</v>
      </c>
      <c r="T8" s="452">
        <v>0</v>
      </c>
      <c r="U8" s="452"/>
      <c r="V8" s="452"/>
      <c r="W8" s="447"/>
      <c r="X8" s="450"/>
      <c r="Y8" s="447"/>
      <c r="Z8" s="450"/>
      <c r="AA8" s="450"/>
      <c r="AB8" s="450"/>
      <c r="AC8" s="447"/>
      <c r="AD8" s="434"/>
      <c r="AE8" s="447"/>
      <c r="AF8" s="434"/>
      <c r="AG8" s="447"/>
      <c r="AH8" s="450"/>
      <c r="AI8" s="447"/>
      <c r="AJ8" s="450"/>
      <c r="AK8" s="447"/>
      <c r="AL8" s="434"/>
      <c r="AM8" s="447"/>
      <c r="AN8" s="451"/>
    </row>
    <row r="9" spans="1:40" ht="15.75" customHeight="1" hidden="1">
      <c r="A9" s="445"/>
      <c r="B9" s="446" t="s">
        <v>260</v>
      </c>
      <c r="C9" s="452">
        <v>0</v>
      </c>
      <c r="D9" s="452">
        <v>0</v>
      </c>
      <c r="E9" s="453">
        <v>0</v>
      </c>
      <c r="F9" s="452">
        <v>0</v>
      </c>
      <c r="G9" s="452">
        <v>0</v>
      </c>
      <c r="H9" s="452">
        <v>0</v>
      </c>
      <c r="I9" s="452">
        <v>0</v>
      </c>
      <c r="J9" s="452">
        <v>0</v>
      </c>
      <c r="K9" s="452">
        <v>0</v>
      </c>
      <c r="L9" s="452">
        <v>0</v>
      </c>
      <c r="M9" s="452">
        <v>0</v>
      </c>
      <c r="N9" s="452">
        <v>0</v>
      </c>
      <c r="O9" s="452">
        <v>0</v>
      </c>
      <c r="P9" s="453">
        <v>0</v>
      </c>
      <c r="Q9" s="452">
        <v>0</v>
      </c>
      <c r="R9" s="453">
        <v>0</v>
      </c>
      <c r="S9" s="452">
        <v>0</v>
      </c>
      <c r="T9" s="452">
        <v>0</v>
      </c>
      <c r="U9" s="452"/>
      <c r="V9" s="452"/>
      <c r="W9" s="447"/>
      <c r="X9" s="450"/>
      <c r="Y9" s="447"/>
      <c r="Z9" s="450"/>
      <c r="AA9" s="450"/>
      <c r="AB9" s="450"/>
      <c r="AC9" s="447"/>
      <c r="AD9" s="434"/>
      <c r="AE9" s="447"/>
      <c r="AF9" s="434"/>
      <c r="AG9" s="447"/>
      <c r="AH9" s="450"/>
      <c r="AI9" s="447"/>
      <c r="AJ9" s="450"/>
      <c r="AK9" s="447"/>
      <c r="AL9" s="434"/>
      <c r="AM9" s="447"/>
      <c r="AN9" s="451"/>
    </row>
    <row r="10" spans="1:40" ht="10.5" customHeight="1" hidden="1">
      <c r="A10" s="445"/>
      <c r="B10" s="454" t="s">
        <v>261</v>
      </c>
      <c r="C10" s="453">
        <v>0</v>
      </c>
      <c r="D10" s="452">
        <v>0</v>
      </c>
      <c r="E10" s="453">
        <v>0</v>
      </c>
      <c r="F10" s="452">
        <v>0</v>
      </c>
      <c r="G10" s="452">
        <v>0</v>
      </c>
      <c r="H10" s="452">
        <v>0</v>
      </c>
      <c r="I10" s="452">
        <v>0</v>
      </c>
      <c r="J10" s="452">
        <v>0</v>
      </c>
      <c r="K10" s="452">
        <v>0</v>
      </c>
      <c r="L10" s="452">
        <v>0</v>
      </c>
      <c r="M10" s="452">
        <v>0</v>
      </c>
      <c r="N10" s="452">
        <v>0</v>
      </c>
      <c r="O10" s="452">
        <v>0</v>
      </c>
      <c r="P10" s="453">
        <v>0</v>
      </c>
      <c r="Q10" s="452">
        <v>0</v>
      </c>
      <c r="R10" s="453">
        <v>0</v>
      </c>
      <c r="S10" s="452">
        <v>0</v>
      </c>
      <c r="T10" s="452">
        <v>0</v>
      </c>
      <c r="U10" s="452"/>
      <c r="V10" s="452"/>
      <c r="W10" s="447"/>
      <c r="X10" s="450"/>
      <c r="Y10" s="447"/>
      <c r="Z10" s="450"/>
      <c r="AA10" s="450"/>
      <c r="AB10" s="450"/>
      <c r="AC10" s="447"/>
      <c r="AD10" s="434"/>
      <c r="AE10" s="447"/>
      <c r="AF10" s="434"/>
      <c r="AG10" s="447"/>
      <c r="AH10" s="450"/>
      <c r="AI10" s="447"/>
      <c r="AJ10" s="450"/>
      <c r="AK10" s="447"/>
      <c r="AL10" s="434"/>
      <c r="AM10" s="447"/>
      <c r="AN10" s="451"/>
    </row>
    <row r="11" spans="1:40" ht="18.75" customHeight="1" hidden="1">
      <c r="A11" s="455"/>
      <c r="B11" s="456" t="s">
        <v>3</v>
      </c>
      <c r="C11" s="457">
        <v>0</v>
      </c>
      <c r="D11" s="458">
        <v>0</v>
      </c>
      <c r="E11" s="457">
        <v>0</v>
      </c>
      <c r="F11" s="458">
        <v>0</v>
      </c>
      <c r="G11" s="458">
        <v>0</v>
      </c>
      <c r="H11" s="458">
        <v>0</v>
      </c>
      <c r="I11" s="458">
        <v>0</v>
      </c>
      <c r="J11" s="458">
        <v>0</v>
      </c>
      <c r="K11" s="458">
        <v>0</v>
      </c>
      <c r="L11" s="458">
        <v>0</v>
      </c>
      <c r="M11" s="458">
        <v>0</v>
      </c>
      <c r="N11" s="458">
        <v>0</v>
      </c>
      <c r="O11" s="458">
        <v>0</v>
      </c>
      <c r="P11" s="457">
        <v>0</v>
      </c>
      <c r="Q11" s="458">
        <v>0</v>
      </c>
      <c r="R11" s="457">
        <v>0</v>
      </c>
      <c r="S11" s="458">
        <v>0</v>
      </c>
      <c r="T11" s="458">
        <v>0</v>
      </c>
      <c r="U11" s="459"/>
      <c r="V11" s="459"/>
      <c r="W11" s="447"/>
      <c r="X11" s="450"/>
      <c r="Y11" s="447"/>
      <c r="Z11" s="450"/>
      <c r="AA11" s="450"/>
      <c r="AB11" s="450"/>
      <c r="AC11" s="447"/>
      <c r="AD11" s="434"/>
      <c r="AE11" s="447"/>
      <c r="AF11" s="434"/>
      <c r="AG11" s="447"/>
      <c r="AH11" s="450"/>
      <c r="AI11" s="447"/>
      <c r="AJ11" s="450"/>
      <c r="AK11" s="447"/>
      <c r="AL11" s="434"/>
      <c r="AM11" s="447"/>
      <c r="AN11" s="451"/>
    </row>
    <row r="12" spans="1:40" ht="18" customHeight="1">
      <c r="A12" s="445"/>
      <c r="B12" s="446" t="s">
        <v>262</v>
      </c>
      <c r="C12" s="453">
        <v>0</v>
      </c>
      <c r="D12" s="452">
        <v>0</v>
      </c>
      <c r="E12" s="453">
        <v>44347</v>
      </c>
      <c r="F12" s="452">
        <v>14782</v>
      </c>
      <c r="G12" s="452">
        <v>37998</v>
      </c>
      <c r="H12" s="452">
        <v>12666</v>
      </c>
      <c r="I12" s="452">
        <v>42444</v>
      </c>
      <c r="J12" s="452">
        <v>14148</v>
      </c>
      <c r="K12" s="452">
        <v>36385</v>
      </c>
      <c r="L12" s="452">
        <v>12128</v>
      </c>
      <c r="M12" s="452">
        <v>41669</v>
      </c>
      <c r="N12" s="452">
        <v>13890</v>
      </c>
      <c r="O12" s="452">
        <v>29071</v>
      </c>
      <c r="P12" s="453">
        <v>9690</v>
      </c>
      <c r="Q12" s="452">
        <v>119470</v>
      </c>
      <c r="R12" s="453">
        <v>39824</v>
      </c>
      <c r="S12" s="452">
        <v>150603</v>
      </c>
      <c r="T12" s="452">
        <v>50200</v>
      </c>
      <c r="U12" s="452">
        <v>137166</v>
      </c>
      <c r="V12" s="452">
        <v>45722</v>
      </c>
      <c r="W12" s="460">
        <v>54459</v>
      </c>
      <c r="X12" s="461">
        <v>18153</v>
      </c>
      <c r="Y12" s="460">
        <v>75465</v>
      </c>
      <c r="Z12" s="461">
        <v>25155</v>
      </c>
      <c r="AA12" s="461">
        <v>30212</v>
      </c>
      <c r="AB12" s="461">
        <v>10071</v>
      </c>
      <c r="AC12" s="460">
        <v>7230</v>
      </c>
      <c r="AD12" s="462">
        <v>2410</v>
      </c>
      <c r="AE12" s="460">
        <v>1494</v>
      </c>
      <c r="AF12" s="462">
        <v>498</v>
      </c>
      <c r="AG12" s="460">
        <v>1252</v>
      </c>
      <c r="AH12" s="461">
        <v>417</v>
      </c>
      <c r="AI12" s="460">
        <v>11158</v>
      </c>
      <c r="AJ12" s="461">
        <v>3720</v>
      </c>
      <c r="AK12" s="460">
        <v>10033</v>
      </c>
      <c r="AL12" s="462">
        <v>3344</v>
      </c>
      <c r="AM12" s="460">
        <v>7931</v>
      </c>
      <c r="AN12" s="463">
        <v>2643</v>
      </c>
    </row>
    <row r="13" spans="1:40" ht="18" customHeight="1">
      <c r="A13" s="445" t="s">
        <v>263</v>
      </c>
      <c r="B13" s="446" t="s">
        <v>264</v>
      </c>
      <c r="C13" s="464">
        <v>146</v>
      </c>
      <c r="D13" s="465">
        <v>98</v>
      </c>
      <c r="E13" s="464">
        <v>125</v>
      </c>
      <c r="F13" s="465">
        <v>84</v>
      </c>
      <c r="G13" s="464">
        <v>108</v>
      </c>
      <c r="H13" s="465">
        <v>72</v>
      </c>
      <c r="I13" s="452">
        <v>0</v>
      </c>
      <c r="J13" s="452">
        <v>0</v>
      </c>
      <c r="K13" s="452">
        <v>0</v>
      </c>
      <c r="L13" s="452">
        <v>0</v>
      </c>
      <c r="M13" s="452">
        <v>422</v>
      </c>
      <c r="N13" s="452">
        <v>281</v>
      </c>
      <c r="O13" s="452">
        <v>20853</v>
      </c>
      <c r="P13" s="453">
        <v>13902</v>
      </c>
      <c r="Q13" s="452">
        <v>17869</v>
      </c>
      <c r="R13" s="453">
        <v>11913</v>
      </c>
      <c r="S13" s="452">
        <v>19908</v>
      </c>
      <c r="T13" s="466">
        <v>13272</v>
      </c>
      <c r="U13" s="466">
        <v>17066</v>
      </c>
      <c r="V13" s="466">
        <v>11377</v>
      </c>
      <c r="W13" s="464">
        <v>18785</v>
      </c>
      <c r="X13" s="467">
        <v>12524</v>
      </c>
      <c r="Y13" s="464">
        <v>13030</v>
      </c>
      <c r="Z13" s="467">
        <v>8686</v>
      </c>
      <c r="AA13" s="467">
        <v>44139</v>
      </c>
      <c r="AB13" s="467">
        <v>29426</v>
      </c>
      <c r="AC13" s="464">
        <v>62644</v>
      </c>
      <c r="AD13" s="468">
        <v>41763</v>
      </c>
      <c r="AE13" s="464">
        <v>57160</v>
      </c>
      <c r="AF13" s="468">
        <v>38107</v>
      </c>
      <c r="AG13" s="464">
        <v>46197</v>
      </c>
      <c r="AH13" s="467">
        <v>30798</v>
      </c>
      <c r="AI13" s="464">
        <v>35778</v>
      </c>
      <c r="AJ13" s="467">
        <v>23852</v>
      </c>
      <c r="AK13" s="464">
        <v>16317</v>
      </c>
      <c r="AL13" s="468">
        <v>10878</v>
      </c>
      <c r="AM13" s="464">
        <v>2994</v>
      </c>
      <c r="AN13" s="469">
        <v>1996</v>
      </c>
    </row>
    <row r="14" spans="1:40" ht="18" customHeight="1">
      <c r="A14" s="445"/>
      <c r="B14" s="470" t="s">
        <v>3</v>
      </c>
      <c r="C14" s="471">
        <v>146</v>
      </c>
      <c r="D14" s="471">
        <v>98</v>
      </c>
      <c r="E14" s="471">
        <v>44472</v>
      </c>
      <c r="F14" s="471">
        <v>14866</v>
      </c>
      <c r="G14" s="471">
        <f aca="true" t="shared" si="0" ref="G14:AL14">SUM(G12:G13)</f>
        <v>38106</v>
      </c>
      <c r="H14" s="471">
        <f t="shared" si="0"/>
        <v>12738</v>
      </c>
      <c r="I14" s="471">
        <f t="shared" si="0"/>
        <v>42444</v>
      </c>
      <c r="J14" s="471">
        <f t="shared" si="0"/>
        <v>14148</v>
      </c>
      <c r="K14" s="471">
        <f t="shared" si="0"/>
        <v>36385</v>
      </c>
      <c r="L14" s="471">
        <f t="shared" si="0"/>
        <v>12128</v>
      </c>
      <c r="M14" s="471">
        <f t="shared" si="0"/>
        <v>42091</v>
      </c>
      <c r="N14" s="471">
        <f t="shared" si="0"/>
        <v>14171</v>
      </c>
      <c r="O14" s="471">
        <f t="shared" si="0"/>
        <v>49924</v>
      </c>
      <c r="P14" s="472">
        <f t="shared" si="0"/>
        <v>23592</v>
      </c>
      <c r="Q14" s="471">
        <f t="shared" si="0"/>
        <v>137339</v>
      </c>
      <c r="R14" s="472">
        <f t="shared" si="0"/>
        <v>51737</v>
      </c>
      <c r="S14" s="471">
        <f t="shared" si="0"/>
        <v>170511</v>
      </c>
      <c r="T14" s="471">
        <f t="shared" si="0"/>
        <v>63472</v>
      </c>
      <c r="U14" s="471">
        <f t="shared" si="0"/>
        <v>154232</v>
      </c>
      <c r="V14" s="471">
        <f t="shared" si="0"/>
        <v>57099</v>
      </c>
      <c r="W14" s="471">
        <f t="shared" si="0"/>
        <v>73244</v>
      </c>
      <c r="X14" s="473">
        <f t="shared" si="0"/>
        <v>30677</v>
      </c>
      <c r="Y14" s="471">
        <f t="shared" si="0"/>
        <v>88495</v>
      </c>
      <c r="Z14" s="473">
        <f t="shared" si="0"/>
        <v>33841</v>
      </c>
      <c r="AA14" s="473">
        <f t="shared" si="0"/>
        <v>74351</v>
      </c>
      <c r="AB14" s="473">
        <f t="shared" si="0"/>
        <v>39497</v>
      </c>
      <c r="AC14" s="471">
        <f t="shared" si="0"/>
        <v>69874</v>
      </c>
      <c r="AD14" s="474">
        <f t="shared" si="0"/>
        <v>44173</v>
      </c>
      <c r="AE14" s="471">
        <f t="shared" si="0"/>
        <v>58654</v>
      </c>
      <c r="AF14" s="474">
        <f t="shared" si="0"/>
        <v>38605</v>
      </c>
      <c r="AG14" s="471">
        <f t="shared" si="0"/>
        <v>47449</v>
      </c>
      <c r="AH14" s="473">
        <f t="shared" si="0"/>
        <v>31215</v>
      </c>
      <c r="AI14" s="471">
        <f t="shared" si="0"/>
        <v>46936</v>
      </c>
      <c r="AJ14" s="473">
        <f t="shared" si="0"/>
        <v>27572</v>
      </c>
      <c r="AK14" s="471">
        <f t="shared" si="0"/>
        <v>26350</v>
      </c>
      <c r="AL14" s="474">
        <f t="shared" si="0"/>
        <v>14222</v>
      </c>
      <c r="AM14" s="471">
        <f>SUM(AM12:AM13)</f>
        <v>10925</v>
      </c>
      <c r="AN14" s="475">
        <f>SUM(AN12:AN13)</f>
        <v>4639</v>
      </c>
    </row>
    <row r="15" spans="1:40" ht="18" customHeight="1">
      <c r="A15" s="476" t="s">
        <v>265</v>
      </c>
      <c r="B15" s="477" t="s">
        <v>266</v>
      </c>
      <c r="C15" s="471">
        <v>436228</v>
      </c>
      <c r="D15" s="471">
        <v>218114</v>
      </c>
      <c r="E15" s="472">
        <v>1871916</v>
      </c>
      <c r="F15" s="471">
        <v>935958</v>
      </c>
      <c r="G15" s="471">
        <v>1499184</v>
      </c>
      <c r="H15" s="471">
        <v>749592</v>
      </c>
      <c r="I15" s="471">
        <v>1109186</v>
      </c>
      <c r="J15" s="471">
        <v>554593</v>
      </c>
      <c r="K15" s="471">
        <v>851694</v>
      </c>
      <c r="L15" s="471">
        <v>425847</v>
      </c>
      <c r="M15" s="471">
        <v>861079</v>
      </c>
      <c r="N15" s="471">
        <v>430539</v>
      </c>
      <c r="O15" s="471">
        <v>684745</v>
      </c>
      <c r="P15" s="472">
        <v>342372</v>
      </c>
      <c r="Q15" s="471">
        <v>638325</v>
      </c>
      <c r="R15" s="472">
        <v>319162</v>
      </c>
      <c r="S15" s="471">
        <v>549521</v>
      </c>
      <c r="T15" s="471">
        <v>274761</v>
      </c>
      <c r="U15" s="471">
        <v>747419</v>
      </c>
      <c r="V15" s="471">
        <v>373709</v>
      </c>
      <c r="W15" s="471">
        <v>719663</v>
      </c>
      <c r="X15" s="473">
        <v>359831</v>
      </c>
      <c r="Y15" s="471">
        <v>674681</v>
      </c>
      <c r="Z15" s="473">
        <v>337340</v>
      </c>
      <c r="AA15" s="473">
        <v>767155</v>
      </c>
      <c r="AB15" s="473">
        <v>383577</v>
      </c>
      <c r="AC15" s="471">
        <v>769078</v>
      </c>
      <c r="AD15" s="474">
        <v>384539</v>
      </c>
      <c r="AE15" s="471">
        <v>884042</v>
      </c>
      <c r="AF15" s="474">
        <v>442021</v>
      </c>
      <c r="AG15" s="471">
        <v>810292</v>
      </c>
      <c r="AH15" s="473">
        <v>405146</v>
      </c>
      <c r="AI15" s="471">
        <v>1114437</v>
      </c>
      <c r="AJ15" s="473">
        <v>557218</v>
      </c>
      <c r="AK15" s="471">
        <v>1159239</v>
      </c>
      <c r="AL15" s="474">
        <v>579619</v>
      </c>
      <c r="AM15" s="471">
        <v>862366</v>
      </c>
      <c r="AN15" s="475">
        <v>431183</v>
      </c>
    </row>
    <row r="16" spans="1:40" ht="18" customHeight="1" hidden="1">
      <c r="A16" s="476" t="s">
        <v>267</v>
      </c>
      <c r="B16" s="477" t="s">
        <v>268</v>
      </c>
      <c r="C16" s="458">
        <v>0</v>
      </c>
      <c r="D16" s="458">
        <v>0</v>
      </c>
      <c r="E16" s="458">
        <v>0</v>
      </c>
      <c r="F16" s="458">
        <v>0</v>
      </c>
      <c r="G16" s="458">
        <v>0</v>
      </c>
      <c r="H16" s="458">
        <v>0</v>
      </c>
      <c r="I16" s="458">
        <v>0</v>
      </c>
      <c r="J16" s="458">
        <v>0</v>
      </c>
      <c r="K16" s="458">
        <v>0</v>
      </c>
      <c r="L16" s="458">
        <v>0</v>
      </c>
      <c r="M16" s="458">
        <v>0</v>
      </c>
      <c r="N16" s="458">
        <v>0</v>
      </c>
      <c r="O16" s="458">
        <v>0</v>
      </c>
      <c r="P16" s="458">
        <v>0</v>
      </c>
      <c r="Q16" s="478">
        <v>0</v>
      </c>
      <c r="R16" s="478">
        <v>0</v>
      </c>
      <c r="S16" s="478">
        <v>0</v>
      </c>
      <c r="T16" s="478">
        <v>0</v>
      </c>
      <c r="U16" s="458">
        <v>0</v>
      </c>
      <c r="V16" s="458">
        <v>0</v>
      </c>
      <c r="W16" s="458">
        <v>0</v>
      </c>
      <c r="X16" s="458">
        <v>0</v>
      </c>
      <c r="Y16" s="471">
        <v>8064</v>
      </c>
      <c r="Z16" s="473">
        <v>5376</v>
      </c>
      <c r="AA16" s="473">
        <v>41</v>
      </c>
      <c r="AB16" s="473">
        <v>27</v>
      </c>
      <c r="AC16" s="458">
        <v>0</v>
      </c>
      <c r="AD16" s="479">
        <v>0</v>
      </c>
      <c r="AE16" s="458">
        <v>0</v>
      </c>
      <c r="AF16" s="479">
        <v>0</v>
      </c>
      <c r="AG16" s="458">
        <v>0</v>
      </c>
      <c r="AH16" s="480">
        <v>0</v>
      </c>
      <c r="AI16" s="458">
        <v>0</v>
      </c>
      <c r="AJ16" s="480">
        <v>0</v>
      </c>
      <c r="AK16" s="458">
        <v>0</v>
      </c>
      <c r="AL16" s="479">
        <v>0</v>
      </c>
      <c r="AM16" s="458">
        <v>0</v>
      </c>
      <c r="AN16" s="481">
        <v>0</v>
      </c>
    </row>
    <row r="17" spans="1:40" ht="18" customHeight="1">
      <c r="A17" s="713" t="s">
        <v>269</v>
      </c>
      <c r="B17" s="482" t="s">
        <v>270</v>
      </c>
      <c r="C17" s="460">
        <v>4896</v>
      </c>
      <c r="D17" s="460">
        <v>1632</v>
      </c>
      <c r="E17" s="483">
        <v>0</v>
      </c>
      <c r="F17" s="483">
        <v>0</v>
      </c>
      <c r="G17" s="460">
        <v>5498</v>
      </c>
      <c r="H17" s="460">
        <v>1833</v>
      </c>
      <c r="I17" s="460">
        <v>21641</v>
      </c>
      <c r="J17" s="460">
        <v>7214</v>
      </c>
      <c r="K17" s="460">
        <v>42327</v>
      </c>
      <c r="L17" s="460">
        <v>14120</v>
      </c>
      <c r="M17" s="460">
        <v>37038</v>
      </c>
      <c r="N17" s="460">
        <v>12390</v>
      </c>
      <c r="O17" s="460">
        <v>24175</v>
      </c>
      <c r="P17" s="484">
        <v>8058</v>
      </c>
      <c r="Q17" s="460">
        <v>10783</v>
      </c>
      <c r="R17" s="484">
        <v>3594</v>
      </c>
      <c r="S17" s="460">
        <v>4923</v>
      </c>
      <c r="T17" s="460">
        <v>1641</v>
      </c>
      <c r="U17" s="478">
        <v>0</v>
      </c>
      <c r="V17" s="478">
        <v>0</v>
      </c>
      <c r="W17" s="478">
        <v>0</v>
      </c>
      <c r="X17" s="478">
        <v>0</v>
      </c>
      <c r="Y17" s="478">
        <v>0</v>
      </c>
      <c r="Z17" s="480">
        <v>0</v>
      </c>
      <c r="AA17" s="485">
        <v>0</v>
      </c>
      <c r="AB17" s="480">
        <v>0</v>
      </c>
      <c r="AC17" s="478">
        <v>4446</v>
      </c>
      <c r="AD17" s="479">
        <v>1482</v>
      </c>
      <c r="AE17" s="478">
        <v>3867</v>
      </c>
      <c r="AF17" s="479">
        <v>1289</v>
      </c>
      <c r="AG17" s="478">
        <v>0</v>
      </c>
      <c r="AH17" s="480">
        <v>0</v>
      </c>
      <c r="AI17" s="478">
        <v>0</v>
      </c>
      <c r="AJ17" s="480">
        <v>0</v>
      </c>
      <c r="AK17" s="478">
        <v>0</v>
      </c>
      <c r="AL17" s="479">
        <v>0</v>
      </c>
      <c r="AM17" s="478">
        <v>6334</v>
      </c>
      <c r="AN17" s="481">
        <v>2111</v>
      </c>
    </row>
    <row r="18" spans="1:40" ht="18" customHeight="1">
      <c r="A18" s="714"/>
      <c r="B18" s="446" t="s">
        <v>271</v>
      </c>
      <c r="C18" s="465"/>
      <c r="D18" s="465"/>
      <c r="E18" s="486"/>
      <c r="F18" s="486"/>
      <c r="G18" s="465"/>
      <c r="H18" s="465"/>
      <c r="I18" s="465"/>
      <c r="J18" s="465"/>
      <c r="K18" s="465"/>
      <c r="L18" s="465"/>
      <c r="M18" s="465"/>
      <c r="N18" s="465"/>
      <c r="O18" s="465"/>
      <c r="P18" s="487"/>
      <c r="Q18" s="465"/>
      <c r="R18" s="487"/>
      <c r="S18" s="465"/>
      <c r="T18" s="465"/>
      <c r="U18" s="478"/>
      <c r="V18" s="478"/>
      <c r="W18" s="478"/>
      <c r="X18" s="478"/>
      <c r="Y18" s="478"/>
      <c r="Z18" s="478"/>
      <c r="AA18" s="485"/>
      <c r="AB18" s="478"/>
      <c r="AC18" s="478"/>
      <c r="AD18" s="488"/>
      <c r="AE18" s="478"/>
      <c r="AF18" s="488"/>
      <c r="AG18" s="478"/>
      <c r="AH18" s="478"/>
      <c r="AI18" s="478"/>
      <c r="AJ18" s="478"/>
      <c r="AK18" s="478"/>
      <c r="AL18" s="488"/>
      <c r="AM18" s="478"/>
      <c r="AN18" s="489"/>
    </row>
    <row r="19" spans="1:40" ht="18" customHeight="1">
      <c r="A19" s="714"/>
      <c r="B19" s="454" t="s">
        <v>272</v>
      </c>
      <c r="C19" s="459">
        <v>0</v>
      </c>
      <c r="D19" s="459">
        <v>0</v>
      </c>
      <c r="E19" s="459">
        <v>0</v>
      </c>
      <c r="F19" s="459">
        <v>0</v>
      </c>
      <c r="G19" s="490">
        <v>0</v>
      </c>
      <c r="H19" s="490">
        <v>0</v>
      </c>
      <c r="I19" s="490">
        <v>0</v>
      </c>
      <c r="J19" s="490">
        <v>0</v>
      </c>
      <c r="K19" s="490">
        <v>0</v>
      </c>
      <c r="L19" s="490">
        <v>0</v>
      </c>
      <c r="M19" s="490">
        <v>0</v>
      </c>
      <c r="N19" s="490">
        <v>0</v>
      </c>
      <c r="O19" s="464">
        <v>133</v>
      </c>
      <c r="P19" s="491">
        <v>89</v>
      </c>
      <c r="Q19" s="464">
        <v>1131</v>
      </c>
      <c r="R19" s="491">
        <v>754</v>
      </c>
      <c r="S19" s="492" t="s">
        <v>164</v>
      </c>
      <c r="T19" s="492" t="s">
        <v>164</v>
      </c>
      <c r="U19" s="459">
        <v>0</v>
      </c>
      <c r="V19" s="459">
        <v>0</v>
      </c>
      <c r="W19" s="459">
        <v>0</v>
      </c>
      <c r="X19" s="459">
        <v>0</v>
      </c>
      <c r="Y19" s="459">
        <v>0</v>
      </c>
      <c r="Z19" s="459">
        <v>0</v>
      </c>
      <c r="AA19" s="493">
        <v>0</v>
      </c>
      <c r="AB19" s="459">
        <v>0</v>
      </c>
      <c r="AC19" s="459">
        <v>895</v>
      </c>
      <c r="AD19" s="494">
        <v>596</v>
      </c>
      <c r="AE19" s="459">
        <v>40</v>
      </c>
      <c r="AF19" s="494">
        <v>27</v>
      </c>
      <c r="AG19" s="459">
        <v>0</v>
      </c>
      <c r="AH19" s="459">
        <v>0</v>
      </c>
      <c r="AI19" s="459">
        <v>0</v>
      </c>
      <c r="AJ19" s="459">
        <v>0</v>
      </c>
      <c r="AK19" s="459">
        <v>0</v>
      </c>
      <c r="AL19" s="494">
        <v>0</v>
      </c>
      <c r="AM19" s="459">
        <v>0</v>
      </c>
      <c r="AN19" s="495">
        <v>0</v>
      </c>
    </row>
    <row r="20" spans="1:40" ht="18" customHeight="1">
      <c r="A20" s="715"/>
      <c r="B20" s="456" t="s">
        <v>3</v>
      </c>
      <c r="C20" s="471"/>
      <c r="D20" s="471"/>
      <c r="E20" s="472">
        <v>0</v>
      </c>
      <c r="F20" s="471">
        <v>0</v>
      </c>
      <c r="G20" s="496">
        <f aca="true" t="shared" si="1" ref="G20:T20">SUM(G17:G19)</f>
        <v>5498</v>
      </c>
      <c r="H20" s="496">
        <f t="shared" si="1"/>
        <v>1833</v>
      </c>
      <c r="I20" s="496">
        <f t="shared" si="1"/>
        <v>21641</v>
      </c>
      <c r="J20" s="496">
        <f t="shared" si="1"/>
        <v>7214</v>
      </c>
      <c r="K20" s="496">
        <f t="shared" si="1"/>
        <v>42327</v>
      </c>
      <c r="L20" s="496">
        <f t="shared" si="1"/>
        <v>14120</v>
      </c>
      <c r="M20" s="496">
        <f t="shared" si="1"/>
        <v>37038</v>
      </c>
      <c r="N20" s="496">
        <f t="shared" si="1"/>
        <v>12390</v>
      </c>
      <c r="O20" s="464">
        <f t="shared" si="1"/>
        <v>24308</v>
      </c>
      <c r="P20" s="472">
        <f t="shared" si="1"/>
        <v>8147</v>
      </c>
      <c r="Q20" s="464">
        <f t="shared" si="1"/>
        <v>11914</v>
      </c>
      <c r="R20" s="472">
        <f t="shared" si="1"/>
        <v>4348</v>
      </c>
      <c r="S20" s="464">
        <f t="shared" si="1"/>
        <v>4923</v>
      </c>
      <c r="T20" s="471">
        <f t="shared" si="1"/>
        <v>1641</v>
      </c>
      <c r="U20" s="478">
        <v>0</v>
      </c>
      <c r="V20" s="478">
        <v>0</v>
      </c>
      <c r="W20" s="478">
        <v>0</v>
      </c>
      <c r="X20" s="459">
        <v>0</v>
      </c>
      <c r="Y20" s="478">
        <v>0</v>
      </c>
      <c r="Z20" s="459">
        <v>0</v>
      </c>
      <c r="AA20" s="485">
        <v>0</v>
      </c>
      <c r="AB20" s="459">
        <v>0</v>
      </c>
      <c r="AC20" s="471">
        <f>SUM(AC17:AC19)</f>
        <v>5341</v>
      </c>
      <c r="AD20" s="474">
        <f>SUM(AD17:AD19)</f>
        <v>2078</v>
      </c>
      <c r="AE20" s="471">
        <f>SUM(AE17:AE19)</f>
        <v>3907</v>
      </c>
      <c r="AF20" s="474">
        <f>SUM(AF17:AF19)</f>
        <v>1316</v>
      </c>
      <c r="AG20" s="458">
        <v>0</v>
      </c>
      <c r="AH20" s="497">
        <v>0</v>
      </c>
      <c r="AI20" s="458">
        <v>0</v>
      </c>
      <c r="AJ20" s="497">
        <v>0</v>
      </c>
      <c r="AK20" s="458">
        <f>SUM(AK17:AK19)</f>
        <v>0</v>
      </c>
      <c r="AL20" s="498">
        <f>SUM(AL17:AL19)</f>
        <v>0</v>
      </c>
      <c r="AM20" s="458">
        <f>SUM(AM17:AM19)</f>
        <v>6334</v>
      </c>
      <c r="AN20" s="499">
        <f>SUM(AN17:AN19)</f>
        <v>2111</v>
      </c>
    </row>
    <row r="21" spans="1:40" ht="18" customHeight="1" hidden="1">
      <c r="A21" s="476" t="s">
        <v>273</v>
      </c>
      <c r="B21" s="477" t="s">
        <v>274</v>
      </c>
      <c r="C21" s="471">
        <v>76984</v>
      </c>
      <c r="D21" s="471">
        <v>38492</v>
      </c>
      <c r="E21" s="472">
        <v>63545</v>
      </c>
      <c r="F21" s="471">
        <v>31772</v>
      </c>
      <c r="G21" s="471">
        <v>79927</v>
      </c>
      <c r="H21" s="471">
        <v>39963</v>
      </c>
      <c r="I21" s="471">
        <v>53752</v>
      </c>
      <c r="J21" s="471">
        <v>26876</v>
      </c>
      <c r="K21" s="471">
        <v>35439</v>
      </c>
      <c r="L21" s="471">
        <v>17720</v>
      </c>
      <c r="M21" s="471">
        <v>10988</v>
      </c>
      <c r="N21" s="471">
        <v>5494</v>
      </c>
      <c r="O21" s="471">
        <v>9603</v>
      </c>
      <c r="P21" s="472">
        <v>4801</v>
      </c>
      <c r="Q21" s="471">
        <v>10022</v>
      </c>
      <c r="R21" s="472">
        <v>5011</v>
      </c>
      <c r="S21" s="471">
        <v>8833</v>
      </c>
      <c r="T21" s="471">
        <v>4416</v>
      </c>
      <c r="U21" s="471">
        <v>7823</v>
      </c>
      <c r="V21" s="471">
        <v>3912</v>
      </c>
      <c r="W21" s="471">
        <v>16570</v>
      </c>
      <c r="X21" s="473">
        <v>8285</v>
      </c>
      <c r="Y21" s="471">
        <v>14265</v>
      </c>
      <c r="Z21" s="473">
        <v>7132</v>
      </c>
      <c r="AA21" s="473">
        <v>7835</v>
      </c>
      <c r="AB21" s="473">
        <v>3917</v>
      </c>
      <c r="AC21" s="471">
        <v>4062</v>
      </c>
      <c r="AD21" s="474">
        <v>2031</v>
      </c>
      <c r="AE21" s="458">
        <v>0</v>
      </c>
      <c r="AF21" s="457">
        <v>0</v>
      </c>
      <c r="AG21" s="458">
        <v>0</v>
      </c>
      <c r="AH21" s="458">
        <v>0</v>
      </c>
      <c r="AI21" s="458">
        <v>0</v>
      </c>
      <c r="AJ21" s="458">
        <v>0</v>
      </c>
      <c r="AK21" s="458">
        <v>0</v>
      </c>
      <c r="AL21" s="457">
        <v>0</v>
      </c>
      <c r="AM21" s="458">
        <v>0</v>
      </c>
      <c r="AN21" s="500">
        <v>0</v>
      </c>
    </row>
    <row r="22" spans="1:40" ht="18" customHeight="1">
      <c r="A22" s="501" t="s">
        <v>275</v>
      </c>
      <c r="B22" s="482" t="s">
        <v>276</v>
      </c>
      <c r="C22" s="460">
        <v>23254</v>
      </c>
      <c r="D22" s="460">
        <v>11627</v>
      </c>
      <c r="E22" s="484">
        <v>21211</v>
      </c>
      <c r="F22" s="460">
        <v>10605</v>
      </c>
      <c r="G22" s="460">
        <v>34101</v>
      </c>
      <c r="H22" s="460">
        <v>17058</v>
      </c>
      <c r="I22" s="460">
        <v>46247</v>
      </c>
      <c r="J22" s="460">
        <v>23123</v>
      </c>
      <c r="K22" s="460">
        <v>71724</v>
      </c>
      <c r="L22" s="460">
        <v>40165</v>
      </c>
      <c r="M22" s="460">
        <v>80448</v>
      </c>
      <c r="N22" s="460">
        <v>48269</v>
      </c>
      <c r="O22" s="460">
        <v>51297</v>
      </c>
      <c r="P22" s="484">
        <v>30778</v>
      </c>
      <c r="Q22" s="460">
        <v>43324</v>
      </c>
      <c r="R22" s="484">
        <v>25995</v>
      </c>
      <c r="S22" s="460">
        <v>36117</v>
      </c>
      <c r="T22" s="460">
        <v>21670</v>
      </c>
      <c r="U22" s="471">
        <v>31329</v>
      </c>
      <c r="V22" s="471">
        <v>18798</v>
      </c>
      <c r="W22" s="471">
        <v>35117</v>
      </c>
      <c r="X22" s="473">
        <v>21070</v>
      </c>
      <c r="Y22" s="471">
        <v>29244</v>
      </c>
      <c r="Z22" s="473">
        <v>17546</v>
      </c>
      <c r="AA22" s="473">
        <v>34948</v>
      </c>
      <c r="AB22" s="473">
        <v>20969</v>
      </c>
      <c r="AC22" s="471">
        <v>36593</v>
      </c>
      <c r="AD22" s="474">
        <v>21956</v>
      </c>
      <c r="AE22" s="471">
        <v>30731</v>
      </c>
      <c r="AF22" s="474">
        <v>18438</v>
      </c>
      <c r="AG22" s="471">
        <v>27141</v>
      </c>
      <c r="AH22" s="473">
        <v>16285</v>
      </c>
      <c r="AI22" s="471">
        <v>26367</v>
      </c>
      <c r="AJ22" s="473">
        <v>15820</v>
      </c>
      <c r="AK22" s="471">
        <v>21968</v>
      </c>
      <c r="AL22" s="474">
        <v>13181</v>
      </c>
      <c r="AM22" s="471">
        <v>18674</v>
      </c>
      <c r="AN22" s="475">
        <v>11204</v>
      </c>
    </row>
    <row r="23" spans="1:40" ht="18" customHeight="1">
      <c r="A23" s="501" t="s">
        <v>277</v>
      </c>
      <c r="B23" s="482" t="s">
        <v>278</v>
      </c>
      <c r="C23" s="460"/>
      <c r="D23" s="460"/>
      <c r="E23" s="484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84"/>
      <c r="Q23" s="460"/>
      <c r="R23" s="484"/>
      <c r="S23" s="460"/>
      <c r="T23" s="460"/>
      <c r="U23" s="471"/>
      <c r="V23" s="471"/>
      <c r="W23" s="471"/>
      <c r="X23" s="473"/>
      <c r="Y23" s="471"/>
      <c r="Z23" s="473"/>
      <c r="AA23" s="458">
        <v>0</v>
      </c>
      <c r="AB23" s="458">
        <v>0</v>
      </c>
      <c r="AC23" s="458">
        <v>0</v>
      </c>
      <c r="AD23" s="458">
        <v>0</v>
      </c>
      <c r="AE23" s="458">
        <v>0</v>
      </c>
      <c r="AF23" s="458">
        <v>0</v>
      </c>
      <c r="AG23" s="458">
        <v>0</v>
      </c>
      <c r="AH23" s="458">
        <v>0</v>
      </c>
      <c r="AI23" s="471">
        <v>3378</v>
      </c>
      <c r="AJ23" s="473">
        <v>1689</v>
      </c>
      <c r="AK23" s="502" t="s">
        <v>164</v>
      </c>
      <c r="AL23" s="503" t="s">
        <v>164</v>
      </c>
      <c r="AM23" s="502" t="s">
        <v>164</v>
      </c>
      <c r="AN23" s="504" t="s">
        <v>164</v>
      </c>
    </row>
    <row r="24" spans="1:40" ht="18" customHeight="1" hidden="1">
      <c r="A24" s="505"/>
      <c r="B24" s="482" t="s">
        <v>279</v>
      </c>
      <c r="C24" s="506">
        <v>0</v>
      </c>
      <c r="D24" s="506">
        <v>0</v>
      </c>
      <c r="E24" s="507">
        <v>0</v>
      </c>
      <c r="F24" s="506">
        <v>0</v>
      </c>
      <c r="G24" s="460">
        <v>46895</v>
      </c>
      <c r="H24" s="460">
        <v>15632</v>
      </c>
      <c r="I24" s="460">
        <v>38030</v>
      </c>
      <c r="J24" s="460">
        <v>12677</v>
      </c>
      <c r="K24" s="460">
        <v>30802</v>
      </c>
      <c r="L24" s="460">
        <v>10267</v>
      </c>
      <c r="M24" s="460">
        <v>25463</v>
      </c>
      <c r="N24" s="460">
        <v>8488</v>
      </c>
      <c r="O24" s="480">
        <v>0</v>
      </c>
      <c r="P24" s="479">
        <v>0</v>
      </c>
      <c r="Q24" s="480">
        <v>16666</v>
      </c>
      <c r="R24" s="479">
        <v>5555</v>
      </c>
      <c r="S24" s="480">
        <v>0</v>
      </c>
      <c r="T24" s="480">
        <v>0</v>
      </c>
      <c r="U24" s="478">
        <v>0</v>
      </c>
      <c r="V24" s="478">
        <v>0</v>
      </c>
      <c r="W24" s="478">
        <v>0</v>
      </c>
      <c r="X24" s="480">
        <v>0</v>
      </c>
      <c r="Y24" s="478">
        <v>0</v>
      </c>
      <c r="Z24" s="480">
        <v>0</v>
      </c>
      <c r="AA24" s="485">
        <v>0</v>
      </c>
      <c r="AB24" s="480">
        <v>0</v>
      </c>
      <c r="AC24" s="478">
        <v>0</v>
      </c>
      <c r="AD24" s="479">
        <v>0</v>
      </c>
      <c r="AE24" s="478">
        <v>0</v>
      </c>
      <c r="AF24" s="479">
        <v>0</v>
      </c>
      <c r="AG24" s="478">
        <v>0</v>
      </c>
      <c r="AH24" s="480">
        <v>0</v>
      </c>
      <c r="AI24" s="478">
        <v>0</v>
      </c>
      <c r="AJ24" s="480">
        <v>0</v>
      </c>
      <c r="AK24" s="508"/>
      <c r="AL24" s="509"/>
      <c r="AM24" s="508"/>
      <c r="AN24" s="510"/>
    </row>
    <row r="25" spans="1:40" ht="18" customHeight="1" hidden="1">
      <c r="A25" s="716" t="s">
        <v>280</v>
      </c>
      <c r="B25" s="446" t="s">
        <v>281</v>
      </c>
      <c r="C25" s="452">
        <v>0</v>
      </c>
      <c r="D25" s="452">
        <v>0</v>
      </c>
      <c r="E25" s="453">
        <v>0</v>
      </c>
      <c r="F25" s="452">
        <v>0</v>
      </c>
      <c r="G25" s="465">
        <v>794</v>
      </c>
      <c r="H25" s="465">
        <v>132</v>
      </c>
      <c r="I25" s="465">
        <v>690</v>
      </c>
      <c r="J25" s="465">
        <v>115</v>
      </c>
      <c r="K25" s="465">
        <v>633</v>
      </c>
      <c r="L25" s="465">
        <v>106</v>
      </c>
      <c r="M25" s="465">
        <v>583</v>
      </c>
      <c r="N25" s="465">
        <v>97</v>
      </c>
      <c r="O25" s="478">
        <v>0</v>
      </c>
      <c r="P25" s="488">
        <v>0</v>
      </c>
      <c r="Q25" s="478">
        <v>503</v>
      </c>
      <c r="R25" s="488">
        <v>84</v>
      </c>
      <c r="S25" s="478">
        <v>0</v>
      </c>
      <c r="T25" s="478">
        <v>0</v>
      </c>
      <c r="U25" s="478">
        <v>0</v>
      </c>
      <c r="V25" s="478">
        <v>0</v>
      </c>
      <c r="W25" s="478">
        <v>0</v>
      </c>
      <c r="X25" s="478">
        <v>0</v>
      </c>
      <c r="Y25" s="478">
        <v>0</v>
      </c>
      <c r="Z25" s="478">
        <v>0</v>
      </c>
      <c r="AA25" s="485">
        <v>0</v>
      </c>
      <c r="AB25" s="478">
        <v>0</v>
      </c>
      <c r="AC25" s="478">
        <v>0</v>
      </c>
      <c r="AD25" s="488">
        <v>0</v>
      </c>
      <c r="AE25" s="478">
        <v>0</v>
      </c>
      <c r="AF25" s="488">
        <v>0</v>
      </c>
      <c r="AG25" s="478">
        <v>0</v>
      </c>
      <c r="AH25" s="478">
        <v>0</v>
      </c>
      <c r="AI25" s="478">
        <v>0</v>
      </c>
      <c r="AJ25" s="478">
        <v>0</v>
      </c>
      <c r="AK25" s="508"/>
      <c r="AL25" s="511"/>
      <c r="AM25" s="508"/>
      <c r="AN25" s="512"/>
    </row>
    <row r="26" spans="1:40" ht="18" customHeight="1" hidden="1">
      <c r="A26" s="716"/>
      <c r="B26" s="446" t="s">
        <v>282</v>
      </c>
      <c r="C26" s="452">
        <v>0</v>
      </c>
      <c r="D26" s="452">
        <v>0</v>
      </c>
      <c r="E26" s="453">
        <v>0</v>
      </c>
      <c r="F26" s="452">
        <v>0</v>
      </c>
      <c r="G26" s="452">
        <v>0</v>
      </c>
      <c r="H26" s="452">
        <v>0</v>
      </c>
      <c r="I26" s="464">
        <v>377</v>
      </c>
      <c r="J26" s="464">
        <v>188</v>
      </c>
      <c r="K26" s="464">
        <v>977</v>
      </c>
      <c r="L26" s="464">
        <v>488</v>
      </c>
      <c r="M26" s="464">
        <v>2752</v>
      </c>
      <c r="N26" s="464">
        <v>1376</v>
      </c>
      <c r="O26" s="478">
        <v>0</v>
      </c>
      <c r="P26" s="488">
        <v>0</v>
      </c>
      <c r="Q26" s="478">
        <v>1426</v>
      </c>
      <c r="R26" s="488">
        <v>713</v>
      </c>
      <c r="S26" s="478">
        <v>0</v>
      </c>
      <c r="T26" s="478">
        <v>0</v>
      </c>
      <c r="U26" s="478">
        <v>0</v>
      </c>
      <c r="V26" s="478">
        <v>0</v>
      </c>
      <c r="W26" s="459">
        <v>0</v>
      </c>
      <c r="X26" s="459">
        <v>0</v>
      </c>
      <c r="Y26" s="459">
        <v>0</v>
      </c>
      <c r="Z26" s="459">
        <v>0</v>
      </c>
      <c r="AA26" s="493">
        <v>0</v>
      </c>
      <c r="AB26" s="459">
        <v>0</v>
      </c>
      <c r="AC26" s="459">
        <v>0</v>
      </c>
      <c r="AD26" s="494">
        <v>0</v>
      </c>
      <c r="AE26" s="459">
        <v>0</v>
      </c>
      <c r="AF26" s="494">
        <v>0</v>
      </c>
      <c r="AG26" s="459">
        <v>0</v>
      </c>
      <c r="AH26" s="459">
        <v>0</v>
      </c>
      <c r="AI26" s="459">
        <v>0</v>
      </c>
      <c r="AJ26" s="459">
        <v>0</v>
      </c>
      <c r="AK26" s="513"/>
      <c r="AL26" s="514"/>
      <c r="AM26" s="513"/>
      <c r="AN26" s="515"/>
    </row>
    <row r="27" spans="1:40" ht="18" customHeight="1" hidden="1">
      <c r="A27" s="516"/>
      <c r="B27" s="438" t="s">
        <v>3</v>
      </c>
      <c r="C27" s="517">
        <v>0</v>
      </c>
      <c r="D27" s="517">
        <v>0</v>
      </c>
      <c r="E27" s="518">
        <v>0</v>
      </c>
      <c r="F27" s="517">
        <v>0</v>
      </c>
      <c r="G27" s="471">
        <f>SUM(G24:G25)</f>
        <v>47689</v>
      </c>
      <c r="H27" s="471">
        <f>SUM(H24:H25)</f>
        <v>15764</v>
      </c>
      <c r="I27" s="471">
        <f aca="true" t="shared" si="2" ref="I27:T27">SUM(I24:I26)</f>
        <v>39097</v>
      </c>
      <c r="J27" s="471">
        <f t="shared" si="2"/>
        <v>12980</v>
      </c>
      <c r="K27" s="471">
        <f t="shared" si="2"/>
        <v>32412</v>
      </c>
      <c r="L27" s="471">
        <f t="shared" si="2"/>
        <v>10861</v>
      </c>
      <c r="M27" s="471">
        <f t="shared" si="2"/>
        <v>28798</v>
      </c>
      <c r="N27" s="471">
        <f t="shared" si="2"/>
        <v>9961</v>
      </c>
      <c r="O27" s="458">
        <f t="shared" si="2"/>
        <v>0</v>
      </c>
      <c r="P27" s="457">
        <f t="shared" si="2"/>
        <v>0</v>
      </c>
      <c r="Q27" s="458">
        <f t="shared" si="2"/>
        <v>18595</v>
      </c>
      <c r="R27" s="457">
        <f t="shared" si="2"/>
        <v>6352</v>
      </c>
      <c r="S27" s="458">
        <f t="shared" si="2"/>
        <v>0</v>
      </c>
      <c r="T27" s="458">
        <f t="shared" si="2"/>
        <v>0</v>
      </c>
      <c r="U27" s="458">
        <v>0</v>
      </c>
      <c r="V27" s="458">
        <v>0</v>
      </c>
      <c r="W27" s="458">
        <v>0</v>
      </c>
      <c r="X27" s="458">
        <v>0</v>
      </c>
      <c r="Y27" s="458">
        <v>0</v>
      </c>
      <c r="Z27" s="458">
        <v>0</v>
      </c>
      <c r="AA27" s="497">
        <v>0</v>
      </c>
      <c r="AB27" s="458">
        <v>0</v>
      </c>
      <c r="AC27" s="458">
        <v>0</v>
      </c>
      <c r="AD27" s="457">
        <v>0</v>
      </c>
      <c r="AE27" s="458">
        <v>0</v>
      </c>
      <c r="AF27" s="457">
        <v>0</v>
      </c>
      <c r="AG27" s="458">
        <v>0</v>
      </c>
      <c r="AH27" s="458">
        <v>0</v>
      </c>
      <c r="AI27" s="458">
        <v>0</v>
      </c>
      <c r="AJ27" s="458">
        <v>0</v>
      </c>
      <c r="AK27" s="519"/>
      <c r="AL27" s="520"/>
      <c r="AM27" s="519"/>
      <c r="AN27" s="521"/>
    </row>
    <row r="28" spans="1:40" ht="18" customHeight="1">
      <c r="A28" s="501" t="s">
        <v>283</v>
      </c>
      <c r="B28" s="482"/>
      <c r="C28" s="465"/>
      <c r="D28" s="465"/>
      <c r="E28" s="487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87"/>
      <c r="Q28" s="465"/>
      <c r="R28" s="487"/>
      <c r="S28" s="465"/>
      <c r="T28" s="465"/>
      <c r="U28" s="465"/>
      <c r="V28" s="465"/>
      <c r="W28" s="465"/>
      <c r="X28" s="522"/>
      <c r="Y28" s="465"/>
      <c r="Z28" s="522"/>
      <c r="AA28" s="522"/>
      <c r="AB28" s="522"/>
      <c r="AC28" s="465"/>
      <c r="AD28" s="523"/>
      <c r="AE28" s="465"/>
      <c r="AF28" s="523"/>
      <c r="AG28" s="465"/>
      <c r="AH28" s="522"/>
      <c r="AI28" s="465"/>
      <c r="AJ28" s="460"/>
      <c r="AK28" s="465"/>
      <c r="AL28" s="484"/>
      <c r="AM28" s="465"/>
      <c r="AN28" s="524"/>
    </row>
    <row r="29" spans="1:40" ht="18" customHeight="1">
      <c r="A29" s="445" t="s">
        <v>284</v>
      </c>
      <c r="B29" s="446" t="s">
        <v>285</v>
      </c>
      <c r="C29" s="487">
        <v>101290</v>
      </c>
      <c r="D29" s="465">
        <v>16882</v>
      </c>
      <c r="E29" s="487">
        <v>137057</v>
      </c>
      <c r="F29" s="465">
        <v>22842</v>
      </c>
      <c r="G29" s="465">
        <v>122867</v>
      </c>
      <c r="H29" s="465">
        <v>20478</v>
      </c>
      <c r="I29" s="465">
        <v>293210</v>
      </c>
      <c r="J29" s="465">
        <v>48868</v>
      </c>
      <c r="K29" s="465">
        <v>319808</v>
      </c>
      <c r="L29" s="465">
        <v>53300</v>
      </c>
      <c r="M29" s="465">
        <v>227028</v>
      </c>
      <c r="N29" s="465">
        <v>37838</v>
      </c>
      <c r="O29" s="465">
        <v>892333</v>
      </c>
      <c r="P29" s="487">
        <v>148722</v>
      </c>
      <c r="Q29" s="465">
        <v>655596</v>
      </c>
      <c r="R29" s="487">
        <v>109266</v>
      </c>
      <c r="S29" s="465">
        <v>495647</v>
      </c>
      <c r="T29" s="465">
        <v>82608</v>
      </c>
      <c r="U29" s="465">
        <v>383520</v>
      </c>
      <c r="V29" s="465">
        <v>63920</v>
      </c>
      <c r="W29" s="465">
        <v>310328</v>
      </c>
      <c r="X29" s="522">
        <v>51721</v>
      </c>
      <c r="Y29" s="465">
        <v>255050</v>
      </c>
      <c r="Z29" s="522">
        <v>42508</v>
      </c>
      <c r="AA29" s="522">
        <v>224841</v>
      </c>
      <c r="AB29" s="522">
        <v>37322</v>
      </c>
      <c r="AC29" s="465">
        <v>207697</v>
      </c>
      <c r="AD29" s="523">
        <v>34616</v>
      </c>
      <c r="AE29" s="465">
        <v>196044</v>
      </c>
      <c r="AF29" s="523">
        <v>32674</v>
      </c>
      <c r="AG29" s="465">
        <v>185731</v>
      </c>
      <c r="AH29" s="522">
        <v>30955</v>
      </c>
      <c r="AI29" s="465">
        <v>173458</v>
      </c>
      <c r="AJ29" s="465">
        <v>28910</v>
      </c>
      <c r="AK29" s="465">
        <v>162834</v>
      </c>
      <c r="AL29" s="487">
        <v>27208</v>
      </c>
      <c r="AM29" s="465">
        <v>163901</v>
      </c>
      <c r="AN29" s="525">
        <v>27317</v>
      </c>
    </row>
    <row r="30" spans="1:40" ht="18" customHeight="1">
      <c r="A30" s="445"/>
      <c r="B30" s="446" t="s">
        <v>286</v>
      </c>
      <c r="C30" s="465"/>
      <c r="D30" s="465"/>
      <c r="E30" s="487"/>
      <c r="F30" s="465"/>
      <c r="G30" s="465"/>
      <c r="H30" s="465"/>
      <c r="I30" s="465"/>
      <c r="J30" s="465"/>
      <c r="K30" s="478">
        <v>0</v>
      </c>
      <c r="L30" s="478">
        <v>0</v>
      </c>
      <c r="M30" s="478">
        <v>0</v>
      </c>
      <c r="N30" s="478">
        <v>0</v>
      </c>
      <c r="O30" s="478">
        <v>0</v>
      </c>
      <c r="P30" s="478">
        <v>0</v>
      </c>
      <c r="Q30" s="465">
        <v>1461</v>
      </c>
      <c r="R30" s="487">
        <v>487</v>
      </c>
      <c r="S30" s="465">
        <v>5744</v>
      </c>
      <c r="T30" s="465">
        <v>1915</v>
      </c>
      <c r="U30" s="465">
        <v>35576</v>
      </c>
      <c r="V30" s="465">
        <v>11859</v>
      </c>
      <c r="W30" s="465">
        <v>27567</v>
      </c>
      <c r="X30" s="522">
        <v>9189</v>
      </c>
      <c r="Y30" s="465">
        <v>32017</v>
      </c>
      <c r="Z30" s="522">
        <v>10672</v>
      </c>
      <c r="AA30" s="522">
        <v>28866</v>
      </c>
      <c r="AB30" s="522">
        <v>9622</v>
      </c>
      <c r="AC30" s="465">
        <v>19524</v>
      </c>
      <c r="AD30" s="523">
        <v>6508</v>
      </c>
      <c r="AE30" s="465">
        <v>12196</v>
      </c>
      <c r="AF30" s="523">
        <v>4065</v>
      </c>
      <c r="AG30" s="465">
        <v>6124</v>
      </c>
      <c r="AH30" s="522">
        <v>2041</v>
      </c>
      <c r="AI30" s="465">
        <v>5523</v>
      </c>
      <c r="AJ30" s="465">
        <v>1841</v>
      </c>
      <c r="AK30" s="465">
        <v>5260</v>
      </c>
      <c r="AL30" s="487">
        <v>1753</v>
      </c>
      <c r="AM30" s="465">
        <v>4992</v>
      </c>
      <c r="AN30" s="525">
        <v>1664</v>
      </c>
    </row>
    <row r="31" spans="1:40" ht="18" customHeight="1">
      <c r="A31" s="445"/>
      <c r="B31" s="526" t="s">
        <v>287</v>
      </c>
      <c r="C31" s="465"/>
      <c r="D31" s="465"/>
      <c r="E31" s="487"/>
      <c r="F31" s="465"/>
      <c r="G31" s="465"/>
      <c r="H31" s="465"/>
      <c r="I31" s="465"/>
      <c r="J31" s="465"/>
      <c r="K31" s="478">
        <v>0</v>
      </c>
      <c r="L31" s="478">
        <v>0</v>
      </c>
      <c r="M31" s="478">
        <v>0</v>
      </c>
      <c r="N31" s="478">
        <v>0</v>
      </c>
      <c r="O31" s="478">
        <v>0</v>
      </c>
      <c r="P31" s="478">
        <v>0</v>
      </c>
      <c r="Q31" s="478">
        <v>0</v>
      </c>
      <c r="R31" s="478">
        <v>0</v>
      </c>
      <c r="S31" s="478">
        <v>0</v>
      </c>
      <c r="T31" s="478">
        <v>0</v>
      </c>
      <c r="U31" s="478">
        <v>0</v>
      </c>
      <c r="V31" s="478">
        <v>0</v>
      </c>
      <c r="W31" s="478">
        <v>0</v>
      </c>
      <c r="X31" s="478">
        <v>0</v>
      </c>
      <c r="Y31" s="465">
        <v>1095</v>
      </c>
      <c r="Z31" s="522">
        <v>365</v>
      </c>
      <c r="AA31" s="522">
        <v>980</v>
      </c>
      <c r="AB31" s="522">
        <v>327</v>
      </c>
      <c r="AC31" s="465">
        <v>852</v>
      </c>
      <c r="AD31" s="523">
        <v>284</v>
      </c>
      <c r="AE31" s="465">
        <v>3158</v>
      </c>
      <c r="AF31" s="523">
        <v>1053</v>
      </c>
      <c r="AG31" s="465">
        <v>104476</v>
      </c>
      <c r="AH31" s="522">
        <v>50922</v>
      </c>
      <c r="AI31" s="465">
        <v>113576</v>
      </c>
      <c r="AJ31" s="465">
        <v>56788</v>
      </c>
      <c r="AK31" s="465">
        <v>130242</v>
      </c>
      <c r="AL31" s="487">
        <v>65121</v>
      </c>
      <c r="AM31" s="465">
        <v>99323</v>
      </c>
      <c r="AN31" s="525">
        <v>49662</v>
      </c>
    </row>
    <row r="32" spans="1:40" ht="17.25" customHeight="1" hidden="1">
      <c r="A32" s="445" t="s">
        <v>288</v>
      </c>
      <c r="B32" s="446" t="s">
        <v>289</v>
      </c>
      <c r="C32" s="452"/>
      <c r="D32" s="452"/>
      <c r="E32" s="453">
        <v>0</v>
      </c>
      <c r="F32" s="452">
        <v>0</v>
      </c>
      <c r="G32" s="452">
        <v>0</v>
      </c>
      <c r="H32" s="452">
        <v>0</v>
      </c>
      <c r="I32" s="453">
        <v>0</v>
      </c>
      <c r="J32" s="452">
        <v>0</v>
      </c>
      <c r="K32" s="478">
        <v>0</v>
      </c>
      <c r="L32" s="478">
        <v>0</v>
      </c>
      <c r="M32" s="478">
        <v>389</v>
      </c>
      <c r="N32" s="478">
        <v>259</v>
      </c>
      <c r="O32" s="478">
        <v>0</v>
      </c>
      <c r="P32" s="488">
        <v>0</v>
      </c>
      <c r="Q32" s="478">
        <v>0</v>
      </c>
      <c r="R32" s="488">
        <v>0</v>
      </c>
      <c r="S32" s="478">
        <v>0</v>
      </c>
      <c r="T32" s="478">
        <v>0</v>
      </c>
      <c r="U32" s="478">
        <v>0</v>
      </c>
      <c r="V32" s="478">
        <v>0</v>
      </c>
      <c r="W32" s="478">
        <v>0</v>
      </c>
      <c r="X32" s="478">
        <v>0</v>
      </c>
      <c r="Y32" s="478">
        <v>0</v>
      </c>
      <c r="Z32" s="478">
        <v>0</v>
      </c>
      <c r="AA32" s="485">
        <v>0</v>
      </c>
      <c r="AB32" s="478">
        <v>0</v>
      </c>
      <c r="AC32" s="478">
        <v>0</v>
      </c>
      <c r="AD32" s="488">
        <v>0</v>
      </c>
      <c r="AE32" s="478">
        <v>0</v>
      </c>
      <c r="AF32" s="488">
        <v>0</v>
      </c>
      <c r="AG32" s="478"/>
      <c r="AH32" s="478"/>
      <c r="AI32" s="478"/>
      <c r="AJ32" s="478"/>
      <c r="AK32" s="478"/>
      <c r="AL32" s="488"/>
      <c r="AM32" s="478"/>
      <c r="AN32" s="489"/>
    </row>
    <row r="33" spans="1:40" ht="17.25" customHeight="1">
      <c r="A33" s="445" t="s">
        <v>290</v>
      </c>
      <c r="B33" s="446" t="s">
        <v>216</v>
      </c>
      <c r="C33" s="452"/>
      <c r="D33" s="452"/>
      <c r="E33" s="453">
        <v>0</v>
      </c>
      <c r="F33" s="452">
        <v>0</v>
      </c>
      <c r="G33" s="452">
        <v>0</v>
      </c>
      <c r="H33" s="452">
        <v>0</v>
      </c>
      <c r="I33" s="453">
        <v>0</v>
      </c>
      <c r="J33" s="452">
        <v>0</v>
      </c>
      <c r="K33" s="478">
        <v>0</v>
      </c>
      <c r="L33" s="478">
        <v>0</v>
      </c>
      <c r="M33" s="478">
        <v>0</v>
      </c>
      <c r="N33" s="478">
        <v>0</v>
      </c>
      <c r="O33" s="478">
        <v>0</v>
      </c>
      <c r="P33" s="488">
        <v>0</v>
      </c>
      <c r="Q33" s="478">
        <v>0</v>
      </c>
      <c r="R33" s="488">
        <v>0</v>
      </c>
      <c r="S33" s="478">
        <v>0</v>
      </c>
      <c r="T33" s="478">
        <v>0</v>
      </c>
      <c r="U33" s="478">
        <v>0</v>
      </c>
      <c r="V33" s="478">
        <v>0</v>
      </c>
      <c r="W33" s="478">
        <v>0</v>
      </c>
      <c r="X33" s="478">
        <v>0</v>
      </c>
      <c r="Y33" s="478">
        <v>0</v>
      </c>
      <c r="Z33" s="478">
        <v>0</v>
      </c>
      <c r="AA33" s="485">
        <v>0</v>
      </c>
      <c r="AB33" s="478">
        <v>0</v>
      </c>
      <c r="AC33" s="478">
        <v>0</v>
      </c>
      <c r="AD33" s="488">
        <v>0</v>
      </c>
      <c r="AE33" s="478">
        <v>21205</v>
      </c>
      <c r="AF33" s="488">
        <v>10602</v>
      </c>
      <c r="AG33" s="478">
        <v>124779</v>
      </c>
      <c r="AH33" s="478">
        <v>62390</v>
      </c>
      <c r="AI33" s="478">
        <v>146700</v>
      </c>
      <c r="AJ33" s="478">
        <v>73350</v>
      </c>
      <c r="AK33" s="478">
        <v>118504</v>
      </c>
      <c r="AL33" s="488">
        <v>59252</v>
      </c>
      <c r="AM33" s="478">
        <v>132861</v>
      </c>
      <c r="AN33" s="489">
        <v>66431</v>
      </c>
    </row>
    <row r="34" spans="1:40" ht="17.25" customHeight="1" hidden="1">
      <c r="A34" s="445" t="s">
        <v>291</v>
      </c>
      <c r="B34" s="446" t="s">
        <v>292</v>
      </c>
      <c r="C34" s="452"/>
      <c r="D34" s="452"/>
      <c r="E34" s="453"/>
      <c r="F34" s="452"/>
      <c r="G34" s="452"/>
      <c r="H34" s="452"/>
      <c r="I34" s="453"/>
      <c r="J34" s="452"/>
      <c r="K34" s="478"/>
      <c r="L34" s="478"/>
      <c r="M34" s="478"/>
      <c r="N34" s="478"/>
      <c r="O34" s="478"/>
      <c r="P34" s="488"/>
      <c r="Q34" s="478"/>
      <c r="R34" s="488"/>
      <c r="S34" s="478"/>
      <c r="T34" s="478"/>
      <c r="U34" s="478"/>
      <c r="V34" s="478"/>
      <c r="W34" s="478"/>
      <c r="X34" s="485"/>
      <c r="Y34" s="478">
        <v>0</v>
      </c>
      <c r="Z34" s="485">
        <v>0</v>
      </c>
      <c r="AA34" s="485">
        <v>0</v>
      </c>
      <c r="AB34" s="478">
        <v>0</v>
      </c>
      <c r="AC34" s="478">
        <v>0</v>
      </c>
      <c r="AD34" s="527">
        <v>0</v>
      </c>
      <c r="AE34" s="478">
        <v>0</v>
      </c>
      <c r="AF34" s="527">
        <v>0</v>
      </c>
      <c r="AG34" s="478">
        <v>624950</v>
      </c>
      <c r="AH34" s="485">
        <v>0</v>
      </c>
      <c r="AI34" s="478">
        <v>2267427</v>
      </c>
      <c r="AJ34" s="478">
        <v>0</v>
      </c>
      <c r="AK34" s="486" t="s">
        <v>164</v>
      </c>
      <c r="AL34" s="528" t="s">
        <v>164</v>
      </c>
      <c r="AM34" s="486" t="s">
        <v>164</v>
      </c>
      <c r="AN34" s="529" t="s">
        <v>164</v>
      </c>
    </row>
    <row r="35" spans="1:40" ht="18" customHeight="1">
      <c r="A35" s="445" t="s">
        <v>283</v>
      </c>
      <c r="B35" s="446"/>
      <c r="C35" s="465"/>
      <c r="D35" s="465"/>
      <c r="E35" s="487"/>
      <c r="F35" s="465"/>
      <c r="G35" s="478"/>
      <c r="H35" s="478"/>
      <c r="I35" s="478"/>
      <c r="J35" s="478"/>
      <c r="K35" s="478"/>
      <c r="L35" s="478"/>
      <c r="M35" s="478"/>
      <c r="N35" s="478"/>
      <c r="O35" s="478"/>
      <c r="P35" s="488"/>
      <c r="Q35" s="478"/>
      <c r="R35" s="488"/>
      <c r="S35" s="478"/>
      <c r="T35" s="478"/>
      <c r="U35" s="478"/>
      <c r="V35" s="478"/>
      <c r="W35" s="465"/>
      <c r="X35" s="522"/>
      <c r="Y35" s="465"/>
      <c r="Z35" s="522"/>
      <c r="AA35" s="522"/>
      <c r="AB35" s="465"/>
      <c r="AC35" s="465"/>
      <c r="AD35" s="523"/>
      <c r="AE35" s="465"/>
      <c r="AF35" s="523"/>
      <c r="AG35" s="465"/>
      <c r="AH35" s="522"/>
      <c r="AI35" s="465"/>
      <c r="AJ35" s="465"/>
      <c r="AK35" s="465"/>
      <c r="AL35" s="487"/>
      <c r="AM35" s="465"/>
      <c r="AN35" s="525"/>
    </row>
    <row r="36" spans="1:40" ht="18" customHeight="1" hidden="1">
      <c r="A36" s="445" t="s">
        <v>293</v>
      </c>
      <c r="B36" s="446" t="s">
        <v>294</v>
      </c>
      <c r="C36" s="465">
        <v>18794</v>
      </c>
      <c r="D36" s="465">
        <v>12530</v>
      </c>
      <c r="E36" s="487">
        <v>4914</v>
      </c>
      <c r="F36" s="465">
        <v>3276</v>
      </c>
      <c r="G36" s="478">
        <v>0</v>
      </c>
      <c r="H36" s="478">
        <v>0</v>
      </c>
      <c r="I36" s="478">
        <v>0</v>
      </c>
      <c r="J36" s="478">
        <v>0</v>
      </c>
      <c r="K36" s="478">
        <v>0</v>
      </c>
      <c r="L36" s="478">
        <v>0</v>
      </c>
      <c r="M36" s="478">
        <v>0</v>
      </c>
      <c r="N36" s="478">
        <v>0</v>
      </c>
      <c r="O36" s="478">
        <v>0</v>
      </c>
      <c r="P36" s="488">
        <v>0</v>
      </c>
      <c r="Q36" s="478">
        <v>0</v>
      </c>
      <c r="R36" s="488">
        <v>0</v>
      </c>
      <c r="S36" s="478">
        <v>0</v>
      </c>
      <c r="T36" s="478">
        <v>0</v>
      </c>
      <c r="U36" s="478"/>
      <c r="V36" s="478"/>
      <c r="W36" s="465"/>
      <c r="X36" s="522"/>
      <c r="Y36" s="465"/>
      <c r="Z36" s="522"/>
      <c r="AA36" s="522"/>
      <c r="AB36" s="522"/>
      <c r="AC36" s="465"/>
      <c r="AD36" s="523"/>
      <c r="AE36" s="465"/>
      <c r="AF36" s="523"/>
      <c r="AG36" s="465"/>
      <c r="AH36" s="522"/>
      <c r="AI36" s="465"/>
      <c r="AJ36" s="465"/>
      <c r="AK36" s="465"/>
      <c r="AL36" s="487"/>
      <c r="AM36" s="465"/>
      <c r="AN36" s="525"/>
    </row>
    <row r="37" spans="1:40" ht="18" customHeight="1" hidden="1">
      <c r="A37" s="445" t="s">
        <v>295</v>
      </c>
      <c r="B37" s="446" t="s">
        <v>296</v>
      </c>
      <c r="C37" s="465"/>
      <c r="D37" s="465"/>
      <c r="E37" s="487"/>
      <c r="F37" s="465"/>
      <c r="G37" s="478">
        <v>0</v>
      </c>
      <c r="H37" s="478">
        <v>0</v>
      </c>
      <c r="I37" s="478">
        <v>0</v>
      </c>
      <c r="J37" s="478">
        <v>0</v>
      </c>
      <c r="K37" s="478">
        <v>0</v>
      </c>
      <c r="L37" s="478">
        <v>0</v>
      </c>
      <c r="M37" s="478">
        <v>0</v>
      </c>
      <c r="N37" s="478">
        <v>0</v>
      </c>
      <c r="O37" s="478">
        <v>61841</v>
      </c>
      <c r="P37" s="488">
        <v>20614</v>
      </c>
      <c r="Q37" s="478">
        <v>42088</v>
      </c>
      <c r="R37" s="488">
        <v>14029</v>
      </c>
      <c r="S37" s="478">
        <v>28645</v>
      </c>
      <c r="T37" s="478">
        <v>9548</v>
      </c>
      <c r="U37" s="478">
        <v>0</v>
      </c>
      <c r="V37" s="478">
        <v>0</v>
      </c>
      <c r="W37" s="478">
        <v>0</v>
      </c>
      <c r="X37" s="478">
        <v>0</v>
      </c>
      <c r="Y37" s="478">
        <v>0</v>
      </c>
      <c r="Z37" s="478">
        <v>0</v>
      </c>
      <c r="AA37" s="485">
        <v>0</v>
      </c>
      <c r="AB37" s="478">
        <v>0</v>
      </c>
      <c r="AC37" s="478">
        <v>0</v>
      </c>
      <c r="AD37" s="488">
        <v>0</v>
      </c>
      <c r="AE37" s="478">
        <v>0</v>
      </c>
      <c r="AF37" s="488">
        <v>0</v>
      </c>
      <c r="AG37" s="478">
        <v>0</v>
      </c>
      <c r="AH37" s="478">
        <v>0</v>
      </c>
      <c r="AI37" s="478">
        <v>0</v>
      </c>
      <c r="AJ37" s="478">
        <v>0</v>
      </c>
      <c r="AK37" s="478"/>
      <c r="AL37" s="488"/>
      <c r="AM37" s="478"/>
      <c r="AN37" s="489"/>
    </row>
    <row r="38" spans="1:40" ht="18" customHeight="1">
      <c r="A38" s="445" t="s">
        <v>297</v>
      </c>
      <c r="B38" s="446" t="s">
        <v>298</v>
      </c>
      <c r="C38" s="465"/>
      <c r="D38" s="465"/>
      <c r="E38" s="487"/>
      <c r="F38" s="465"/>
      <c r="G38" s="478"/>
      <c r="H38" s="478"/>
      <c r="I38" s="478"/>
      <c r="J38" s="478"/>
      <c r="K38" s="478"/>
      <c r="L38" s="478"/>
      <c r="M38" s="478"/>
      <c r="N38" s="478"/>
      <c r="O38" s="478"/>
      <c r="P38" s="488"/>
      <c r="Q38" s="478"/>
      <c r="R38" s="488"/>
      <c r="S38" s="478"/>
      <c r="T38" s="478"/>
      <c r="U38" s="478"/>
      <c r="V38" s="478"/>
      <c r="W38" s="478"/>
      <c r="X38" s="478"/>
      <c r="Y38" s="478"/>
      <c r="Z38" s="478"/>
      <c r="AA38" s="478">
        <v>0</v>
      </c>
      <c r="AB38" s="478">
        <v>0</v>
      </c>
      <c r="AC38" s="478">
        <v>0</v>
      </c>
      <c r="AD38" s="478">
        <v>0</v>
      </c>
      <c r="AE38" s="478">
        <v>0</v>
      </c>
      <c r="AF38" s="478">
        <v>0</v>
      </c>
      <c r="AG38" s="478">
        <v>0</v>
      </c>
      <c r="AH38" s="478">
        <v>0</v>
      </c>
      <c r="AI38" s="478">
        <v>4862</v>
      </c>
      <c r="AJ38" s="478">
        <v>1621</v>
      </c>
      <c r="AK38" s="478">
        <v>2896</v>
      </c>
      <c r="AL38" s="488">
        <v>965</v>
      </c>
      <c r="AM38" s="478">
        <v>1925</v>
      </c>
      <c r="AN38" s="489">
        <v>642</v>
      </c>
    </row>
    <row r="39" spans="1:40" ht="18" customHeight="1" hidden="1">
      <c r="A39" s="445" t="s">
        <v>299</v>
      </c>
      <c r="B39" s="446" t="s">
        <v>300</v>
      </c>
      <c r="C39" s="465">
        <v>0</v>
      </c>
      <c r="D39" s="465">
        <v>0</v>
      </c>
      <c r="E39" s="487">
        <v>125020</v>
      </c>
      <c r="F39" s="465">
        <v>93765</v>
      </c>
      <c r="G39" s="478">
        <v>297406</v>
      </c>
      <c r="H39" s="478">
        <v>223064</v>
      </c>
      <c r="I39" s="478">
        <v>264041</v>
      </c>
      <c r="J39" s="478">
        <v>198958</v>
      </c>
      <c r="K39" s="478">
        <v>259715</v>
      </c>
      <c r="L39" s="478">
        <v>194786</v>
      </c>
      <c r="M39" s="478">
        <v>875121</v>
      </c>
      <c r="N39" s="478">
        <v>656341</v>
      </c>
      <c r="O39" s="478">
        <v>607457</v>
      </c>
      <c r="P39" s="488">
        <v>455593</v>
      </c>
      <c r="Q39" s="478">
        <v>434827</v>
      </c>
      <c r="R39" s="488">
        <v>326120</v>
      </c>
      <c r="S39" s="478">
        <v>312105</v>
      </c>
      <c r="T39" s="478">
        <v>234079</v>
      </c>
      <c r="U39" s="478">
        <v>64682</v>
      </c>
      <c r="V39" s="478">
        <v>48512</v>
      </c>
      <c r="W39" s="478">
        <v>43467</v>
      </c>
      <c r="X39" s="478">
        <v>32600</v>
      </c>
      <c r="Y39" s="478">
        <v>35794</v>
      </c>
      <c r="Z39" s="478">
        <v>26846</v>
      </c>
      <c r="AA39" s="485">
        <v>1174</v>
      </c>
      <c r="AB39" s="478">
        <v>881</v>
      </c>
      <c r="AC39" s="478">
        <v>0</v>
      </c>
      <c r="AD39" s="488">
        <v>0</v>
      </c>
      <c r="AE39" s="478">
        <v>0</v>
      </c>
      <c r="AF39" s="488">
        <v>0</v>
      </c>
      <c r="AG39" s="478">
        <v>0</v>
      </c>
      <c r="AH39" s="478">
        <v>0</v>
      </c>
      <c r="AI39" s="478">
        <v>0</v>
      </c>
      <c r="AJ39" s="478">
        <v>0</v>
      </c>
      <c r="AK39" s="478">
        <v>0</v>
      </c>
      <c r="AL39" s="488">
        <v>0</v>
      </c>
      <c r="AM39" s="478">
        <v>0</v>
      </c>
      <c r="AN39" s="489">
        <v>0</v>
      </c>
    </row>
    <row r="40" spans="1:40" ht="18" customHeight="1" hidden="1">
      <c r="A40" s="445"/>
      <c r="B40" s="446" t="s">
        <v>301</v>
      </c>
      <c r="C40" s="465"/>
      <c r="D40" s="465"/>
      <c r="E40" s="487"/>
      <c r="F40" s="465"/>
      <c r="G40" s="478"/>
      <c r="H40" s="478"/>
      <c r="I40" s="478"/>
      <c r="J40" s="478"/>
      <c r="K40" s="478"/>
      <c r="L40" s="478"/>
      <c r="M40" s="478">
        <v>0</v>
      </c>
      <c r="N40" s="478">
        <v>0</v>
      </c>
      <c r="O40" s="478">
        <v>0</v>
      </c>
      <c r="P40" s="488">
        <v>0</v>
      </c>
      <c r="Q40" s="478">
        <v>0</v>
      </c>
      <c r="R40" s="488">
        <v>0</v>
      </c>
      <c r="S40" s="478">
        <v>0</v>
      </c>
      <c r="T40" s="478">
        <v>0</v>
      </c>
      <c r="U40" s="478">
        <v>11042</v>
      </c>
      <c r="V40" s="478">
        <v>8833</v>
      </c>
      <c r="W40" s="478">
        <v>5547</v>
      </c>
      <c r="X40" s="478">
        <v>4438</v>
      </c>
      <c r="Y40" s="478">
        <v>3504</v>
      </c>
      <c r="Z40" s="478">
        <v>2803</v>
      </c>
      <c r="AA40" s="485">
        <v>2386</v>
      </c>
      <c r="AB40" s="478">
        <v>1909</v>
      </c>
      <c r="AC40" s="478">
        <v>1625</v>
      </c>
      <c r="AD40" s="488">
        <v>1300</v>
      </c>
      <c r="AE40" s="478">
        <v>0</v>
      </c>
      <c r="AF40" s="488">
        <v>0</v>
      </c>
      <c r="AG40" s="478">
        <v>0</v>
      </c>
      <c r="AH40" s="478">
        <v>0</v>
      </c>
      <c r="AI40" s="478">
        <v>0</v>
      </c>
      <c r="AJ40" s="478">
        <v>0</v>
      </c>
      <c r="AK40" s="478">
        <v>0</v>
      </c>
      <c r="AL40" s="488">
        <v>0</v>
      </c>
      <c r="AM40" s="478">
        <v>0</v>
      </c>
      <c r="AN40" s="489">
        <v>0</v>
      </c>
    </row>
    <row r="41" spans="1:40" ht="18" customHeight="1" hidden="1">
      <c r="A41" s="445" t="s">
        <v>302</v>
      </c>
      <c r="B41" s="446" t="s">
        <v>303</v>
      </c>
      <c r="C41" s="465">
        <v>34550</v>
      </c>
      <c r="D41" s="465">
        <v>28791</v>
      </c>
      <c r="E41" s="487">
        <v>31241</v>
      </c>
      <c r="F41" s="465">
        <v>26034</v>
      </c>
      <c r="G41" s="465">
        <v>22725</v>
      </c>
      <c r="H41" s="465">
        <v>18937</v>
      </c>
      <c r="I41" s="465">
        <v>15435</v>
      </c>
      <c r="J41" s="465">
        <v>12863</v>
      </c>
      <c r="K41" s="465">
        <v>5463</v>
      </c>
      <c r="L41" s="465">
        <v>4553</v>
      </c>
      <c r="M41" s="478">
        <v>0</v>
      </c>
      <c r="N41" s="478">
        <v>0</v>
      </c>
      <c r="O41" s="478">
        <v>0</v>
      </c>
      <c r="P41" s="478">
        <v>0</v>
      </c>
      <c r="Q41" s="478">
        <v>0</v>
      </c>
      <c r="R41" s="478">
        <v>0</v>
      </c>
      <c r="S41" s="478">
        <v>0</v>
      </c>
      <c r="T41" s="478">
        <v>0</v>
      </c>
      <c r="U41" s="478">
        <v>0</v>
      </c>
      <c r="V41" s="478">
        <v>0</v>
      </c>
      <c r="W41" s="478">
        <v>0</v>
      </c>
      <c r="X41" s="478">
        <v>0</v>
      </c>
      <c r="Y41" s="478">
        <v>0</v>
      </c>
      <c r="Z41" s="478">
        <v>0</v>
      </c>
      <c r="AA41" s="485">
        <v>0</v>
      </c>
      <c r="AB41" s="478">
        <v>0</v>
      </c>
      <c r="AC41" s="478">
        <v>0</v>
      </c>
      <c r="AD41" s="488">
        <v>0</v>
      </c>
      <c r="AE41" s="478">
        <v>0</v>
      </c>
      <c r="AF41" s="488">
        <v>0</v>
      </c>
      <c r="AG41" s="478">
        <v>0</v>
      </c>
      <c r="AH41" s="478">
        <v>0</v>
      </c>
      <c r="AI41" s="478">
        <v>0</v>
      </c>
      <c r="AJ41" s="478">
        <v>0</v>
      </c>
      <c r="AK41" s="478"/>
      <c r="AL41" s="488"/>
      <c r="AM41" s="478"/>
      <c r="AN41" s="489"/>
    </row>
    <row r="42" spans="1:40" ht="18" customHeight="1" hidden="1">
      <c r="A42" s="445" t="s">
        <v>304</v>
      </c>
      <c r="B42" s="446" t="s">
        <v>305</v>
      </c>
      <c r="C42" s="488">
        <v>2742</v>
      </c>
      <c r="D42" s="478">
        <v>2285</v>
      </c>
      <c r="E42" s="488">
        <v>47911</v>
      </c>
      <c r="F42" s="478">
        <v>39926</v>
      </c>
      <c r="G42" s="465">
        <v>34082</v>
      </c>
      <c r="H42" s="465">
        <v>28402</v>
      </c>
      <c r="I42" s="465">
        <v>24239</v>
      </c>
      <c r="J42" s="465">
        <v>20199</v>
      </c>
      <c r="K42" s="465">
        <v>15283</v>
      </c>
      <c r="L42" s="465">
        <v>12736</v>
      </c>
      <c r="M42" s="465">
        <v>5697</v>
      </c>
      <c r="N42" s="465">
        <v>4747</v>
      </c>
      <c r="O42" s="478">
        <v>0</v>
      </c>
      <c r="P42" s="488">
        <v>0</v>
      </c>
      <c r="Q42" s="478">
        <v>0</v>
      </c>
      <c r="R42" s="488">
        <v>0</v>
      </c>
      <c r="S42" s="478">
        <v>0</v>
      </c>
      <c r="T42" s="478">
        <v>0</v>
      </c>
      <c r="U42" s="478">
        <v>0</v>
      </c>
      <c r="V42" s="478">
        <v>0</v>
      </c>
      <c r="W42" s="478">
        <v>0</v>
      </c>
      <c r="X42" s="478">
        <v>0</v>
      </c>
      <c r="Y42" s="478">
        <v>0</v>
      </c>
      <c r="Z42" s="478">
        <v>0</v>
      </c>
      <c r="AA42" s="485">
        <v>0</v>
      </c>
      <c r="AB42" s="478">
        <v>0</v>
      </c>
      <c r="AC42" s="478">
        <v>0</v>
      </c>
      <c r="AD42" s="488">
        <v>0</v>
      </c>
      <c r="AE42" s="478">
        <v>0</v>
      </c>
      <c r="AF42" s="488">
        <v>0</v>
      </c>
      <c r="AG42" s="478">
        <v>0</v>
      </c>
      <c r="AH42" s="478">
        <v>0</v>
      </c>
      <c r="AI42" s="478">
        <v>0</v>
      </c>
      <c r="AJ42" s="478">
        <v>0</v>
      </c>
      <c r="AK42" s="478"/>
      <c r="AL42" s="488"/>
      <c r="AM42" s="478"/>
      <c r="AN42" s="489"/>
    </row>
    <row r="43" spans="1:40" ht="17.25" customHeight="1" hidden="1">
      <c r="A43" s="445" t="s">
        <v>306</v>
      </c>
      <c r="B43" s="446" t="s">
        <v>307</v>
      </c>
      <c r="C43" s="478">
        <v>0</v>
      </c>
      <c r="D43" s="478">
        <v>0</v>
      </c>
      <c r="E43" s="488">
        <v>1853</v>
      </c>
      <c r="F43" s="478">
        <v>1621</v>
      </c>
      <c r="G43" s="465">
        <v>53217</v>
      </c>
      <c r="H43" s="465">
        <v>46565</v>
      </c>
      <c r="I43" s="465">
        <v>38494</v>
      </c>
      <c r="J43" s="465">
        <v>33682</v>
      </c>
      <c r="K43" s="465">
        <v>28219</v>
      </c>
      <c r="L43" s="465">
        <v>24691</v>
      </c>
      <c r="M43" s="465">
        <v>21085</v>
      </c>
      <c r="N43" s="465">
        <v>18449</v>
      </c>
      <c r="O43" s="465">
        <v>2691</v>
      </c>
      <c r="P43" s="487">
        <v>2355</v>
      </c>
      <c r="Q43" s="478">
        <v>0</v>
      </c>
      <c r="R43" s="488">
        <v>0</v>
      </c>
      <c r="S43" s="478">
        <v>0</v>
      </c>
      <c r="T43" s="478">
        <v>0</v>
      </c>
      <c r="U43" s="478">
        <v>0</v>
      </c>
      <c r="V43" s="478">
        <v>0</v>
      </c>
      <c r="W43" s="478">
        <v>0</v>
      </c>
      <c r="X43" s="478">
        <v>0</v>
      </c>
      <c r="Y43" s="478">
        <v>0</v>
      </c>
      <c r="Z43" s="478">
        <v>0</v>
      </c>
      <c r="AA43" s="485">
        <v>0</v>
      </c>
      <c r="AB43" s="478">
        <v>0</v>
      </c>
      <c r="AC43" s="478">
        <v>0</v>
      </c>
      <c r="AD43" s="488">
        <v>0</v>
      </c>
      <c r="AE43" s="478">
        <v>0</v>
      </c>
      <c r="AF43" s="488">
        <v>0</v>
      </c>
      <c r="AG43" s="478">
        <v>0</v>
      </c>
      <c r="AH43" s="478">
        <v>0</v>
      </c>
      <c r="AI43" s="478">
        <v>0</v>
      </c>
      <c r="AJ43" s="478">
        <v>0</v>
      </c>
      <c r="AK43" s="478"/>
      <c r="AL43" s="488"/>
      <c r="AM43" s="478"/>
      <c r="AN43" s="489"/>
    </row>
    <row r="44" spans="1:40" ht="17.25" customHeight="1" hidden="1">
      <c r="A44" s="445" t="s">
        <v>304</v>
      </c>
      <c r="B44" s="446" t="s">
        <v>308</v>
      </c>
      <c r="C44" s="478">
        <v>0</v>
      </c>
      <c r="D44" s="478">
        <v>0</v>
      </c>
      <c r="E44" s="465">
        <v>0</v>
      </c>
      <c r="F44" s="465">
        <v>0</v>
      </c>
      <c r="G44" s="465">
        <v>0</v>
      </c>
      <c r="H44" s="465">
        <v>0</v>
      </c>
      <c r="I44" s="465">
        <v>740</v>
      </c>
      <c r="J44" s="465">
        <v>493</v>
      </c>
      <c r="K44" s="465">
        <v>2724</v>
      </c>
      <c r="L44" s="465">
        <v>1816</v>
      </c>
      <c r="M44" s="530" t="s">
        <v>164</v>
      </c>
      <c r="N44" s="530" t="s">
        <v>164</v>
      </c>
      <c r="O44" s="465">
        <v>1256</v>
      </c>
      <c r="P44" s="487">
        <v>837</v>
      </c>
      <c r="Q44" s="478">
        <v>914</v>
      </c>
      <c r="R44" s="488">
        <v>609</v>
      </c>
      <c r="S44" s="478">
        <v>534</v>
      </c>
      <c r="T44" s="478">
        <v>356</v>
      </c>
      <c r="U44" s="478">
        <v>0</v>
      </c>
      <c r="V44" s="478">
        <v>0</v>
      </c>
      <c r="W44" s="478">
        <v>0</v>
      </c>
      <c r="X44" s="478">
        <v>0</v>
      </c>
      <c r="Y44" s="478">
        <v>0</v>
      </c>
      <c r="Z44" s="478">
        <v>0</v>
      </c>
      <c r="AA44" s="485">
        <v>0</v>
      </c>
      <c r="AB44" s="478">
        <v>0</v>
      </c>
      <c r="AC44" s="478">
        <v>0</v>
      </c>
      <c r="AD44" s="488">
        <v>0</v>
      </c>
      <c r="AE44" s="478">
        <v>0</v>
      </c>
      <c r="AF44" s="488">
        <v>0</v>
      </c>
      <c r="AG44" s="478">
        <v>0</v>
      </c>
      <c r="AH44" s="478">
        <v>0</v>
      </c>
      <c r="AI44" s="478">
        <v>0</v>
      </c>
      <c r="AJ44" s="478">
        <v>0</v>
      </c>
      <c r="AK44" s="478"/>
      <c r="AL44" s="488"/>
      <c r="AM44" s="478"/>
      <c r="AN44" s="489"/>
    </row>
    <row r="45" spans="1:40" ht="17.25" customHeight="1" hidden="1">
      <c r="A45" s="445" t="s">
        <v>309</v>
      </c>
      <c r="B45" s="446" t="s">
        <v>310</v>
      </c>
      <c r="C45" s="478">
        <v>0</v>
      </c>
      <c r="D45" s="478">
        <v>0</v>
      </c>
      <c r="E45" s="465">
        <v>0</v>
      </c>
      <c r="F45" s="465">
        <v>0</v>
      </c>
      <c r="G45" s="465">
        <v>0</v>
      </c>
      <c r="H45" s="465">
        <v>0</v>
      </c>
      <c r="I45" s="465">
        <v>217178</v>
      </c>
      <c r="J45" s="465">
        <v>173742</v>
      </c>
      <c r="K45" s="465">
        <v>114226</v>
      </c>
      <c r="L45" s="465">
        <v>91381</v>
      </c>
      <c r="M45" s="465">
        <v>70633</v>
      </c>
      <c r="N45" s="465">
        <v>56507</v>
      </c>
      <c r="O45" s="465">
        <v>32339</v>
      </c>
      <c r="P45" s="487">
        <v>25871</v>
      </c>
      <c r="Q45" s="478">
        <v>4554</v>
      </c>
      <c r="R45" s="488">
        <v>3643</v>
      </c>
      <c r="S45" s="478">
        <v>0</v>
      </c>
      <c r="T45" s="478">
        <v>0</v>
      </c>
      <c r="U45" s="478">
        <v>0</v>
      </c>
      <c r="V45" s="478">
        <v>0</v>
      </c>
      <c r="W45" s="478">
        <v>0</v>
      </c>
      <c r="X45" s="478">
        <v>0</v>
      </c>
      <c r="Y45" s="478">
        <v>0</v>
      </c>
      <c r="Z45" s="478">
        <v>0</v>
      </c>
      <c r="AA45" s="485">
        <v>0</v>
      </c>
      <c r="AB45" s="478">
        <v>0</v>
      </c>
      <c r="AC45" s="478">
        <v>0</v>
      </c>
      <c r="AD45" s="488">
        <v>0</v>
      </c>
      <c r="AE45" s="478">
        <v>0</v>
      </c>
      <c r="AF45" s="488">
        <v>0</v>
      </c>
      <c r="AG45" s="478">
        <v>0</v>
      </c>
      <c r="AH45" s="478">
        <v>0</v>
      </c>
      <c r="AI45" s="478">
        <v>0</v>
      </c>
      <c r="AJ45" s="478">
        <v>0</v>
      </c>
      <c r="AK45" s="478"/>
      <c r="AL45" s="488"/>
      <c r="AM45" s="478"/>
      <c r="AN45" s="489"/>
    </row>
    <row r="46" spans="1:40" ht="17.25" customHeight="1" hidden="1">
      <c r="A46" s="445" t="s">
        <v>309</v>
      </c>
      <c r="B46" s="446" t="s">
        <v>311</v>
      </c>
      <c r="C46" s="478">
        <v>0</v>
      </c>
      <c r="D46" s="478">
        <v>0</v>
      </c>
      <c r="E46" s="465">
        <v>0</v>
      </c>
      <c r="F46" s="465">
        <v>0</v>
      </c>
      <c r="G46" s="465">
        <v>0</v>
      </c>
      <c r="H46" s="465">
        <v>0</v>
      </c>
      <c r="I46" s="465">
        <v>112411</v>
      </c>
      <c r="J46" s="465">
        <v>84308</v>
      </c>
      <c r="K46" s="465">
        <v>77721</v>
      </c>
      <c r="L46" s="465">
        <v>58291</v>
      </c>
      <c r="M46" s="465">
        <v>49735</v>
      </c>
      <c r="N46" s="465">
        <v>37301</v>
      </c>
      <c r="O46" s="465">
        <v>20477</v>
      </c>
      <c r="P46" s="487">
        <v>15358</v>
      </c>
      <c r="Q46" s="478">
        <v>2027</v>
      </c>
      <c r="R46" s="488">
        <v>1521</v>
      </c>
      <c r="S46" s="478">
        <v>0</v>
      </c>
      <c r="T46" s="478">
        <v>0</v>
      </c>
      <c r="U46" s="478">
        <v>0</v>
      </c>
      <c r="V46" s="478">
        <v>0</v>
      </c>
      <c r="W46" s="478">
        <v>0</v>
      </c>
      <c r="X46" s="478">
        <v>0</v>
      </c>
      <c r="Y46" s="478">
        <v>0</v>
      </c>
      <c r="Z46" s="478">
        <v>0</v>
      </c>
      <c r="AA46" s="485">
        <v>0</v>
      </c>
      <c r="AB46" s="478">
        <v>0</v>
      </c>
      <c r="AC46" s="478">
        <v>0</v>
      </c>
      <c r="AD46" s="488">
        <v>0</v>
      </c>
      <c r="AE46" s="478">
        <v>0</v>
      </c>
      <c r="AF46" s="488">
        <v>0</v>
      </c>
      <c r="AG46" s="478">
        <v>0</v>
      </c>
      <c r="AH46" s="478">
        <v>0</v>
      </c>
      <c r="AI46" s="478">
        <v>0</v>
      </c>
      <c r="AJ46" s="478">
        <v>0</v>
      </c>
      <c r="AK46" s="478"/>
      <c r="AL46" s="488"/>
      <c r="AM46" s="478"/>
      <c r="AN46" s="489"/>
    </row>
    <row r="47" spans="1:40" ht="18" customHeight="1" hidden="1">
      <c r="A47" s="445" t="s">
        <v>312</v>
      </c>
      <c r="B47" s="446" t="s">
        <v>313</v>
      </c>
      <c r="C47" s="487">
        <v>639297</v>
      </c>
      <c r="D47" s="465">
        <v>479473</v>
      </c>
      <c r="E47" s="487">
        <v>342958</v>
      </c>
      <c r="F47" s="465">
        <v>257219</v>
      </c>
      <c r="G47" s="465">
        <v>294258</v>
      </c>
      <c r="H47" s="465">
        <v>220694</v>
      </c>
      <c r="I47" s="465">
        <v>43327</v>
      </c>
      <c r="J47" s="465">
        <v>32496</v>
      </c>
      <c r="K47" s="465">
        <v>7786</v>
      </c>
      <c r="L47" s="465">
        <v>5840</v>
      </c>
      <c r="M47" s="452">
        <v>0</v>
      </c>
      <c r="N47" s="452">
        <v>0</v>
      </c>
      <c r="O47" s="452">
        <v>0</v>
      </c>
      <c r="P47" s="453">
        <v>0</v>
      </c>
      <c r="Q47" s="452">
        <v>0</v>
      </c>
      <c r="R47" s="453">
        <v>0</v>
      </c>
      <c r="S47" s="452">
        <v>0</v>
      </c>
      <c r="T47" s="452">
        <v>0</v>
      </c>
      <c r="U47" s="452">
        <v>0</v>
      </c>
      <c r="V47" s="452">
        <v>0</v>
      </c>
      <c r="W47" s="478">
        <v>0</v>
      </c>
      <c r="X47" s="478">
        <v>0</v>
      </c>
      <c r="Y47" s="478">
        <v>0</v>
      </c>
      <c r="Z47" s="478">
        <v>0</v>
      </c>
      <c r="AA47" s="485">
        <v>0</v>
      </c>
      <c r="AB47" s="478">
        <v>0</v>
      </c>
      <c r="AC47" s="478">
        <v>0</v>
      </c>
      <c r="AD47" s="488">
        <v>0</v>
      </c>
      <c r="AE47" s="478">
        <v>0</v>
      </c>
      <c r="AF47" s="488">
        <v>0</v>
      </c>
      <c r="AG47" s="478">
        <v>0</v>
      </c>
      <c r="AH47" s="478">
        <v>0</v>
      </c>
      <c r="AI47" s="478">
        <v>0</v>
      </c>
      <c r="AJ47" s="478">
        <v>0</v>
      </c>
      <c r="AK47" s="478"/>
      <c r="AL47" s="488"/>
      <c r="AM47" s="478"/>
      <c r="AN47" s="489"/>
    </row>
    <row r="48" spans="1:40" ht="18" customHeight="1" hidden="1">
      <c r="A48" s="445" t="s">
        <v>306</v>
      </c>
      <c r="B48" s="531" t="s">
        <v>314</v>
      </c>
      <c r="C48" s="452">
        <v>19460</v>
      </c>
      <c r="D48" s="465">
        <v>15568</v>
      </c>
      <c r="E48" s="452">
        <v>31621</v>
      </c>
      <c r="F48" s="465">
        <v>25297</v>
      </c>
      <c r="G48" s="452">
        <v>0</v>
      </c>
      <c r="H48" s="478">
        <v>0</v>
      </c>
      <c r="I48" s="452">
        <v>83835</v>
      </c>
      <c r="J48" s="478">
        <v>67068</v>
      </c>
      <c r="K48" s="452">
        <v>116415</v>
      </c>
      <c r="L48" s="478">
        <v>93132</v>
      </c>
      <c r="M48" s="452">
        <v>83692</v>
      </c>
      <c r="N48" s="478">
        <v>66953</v>
      </c>
      <c r="O48" s="452">
        <v>56938</v>
      </c>
      <c r="P48" s="488">
        <v>45550</v>
      </c>
      <c r="Q48" s="478">
        <v>4994</v>
      </c>
      <c r="R48" s="488">
        <v>3995</v>
      </c>
      <c r="S48" s="478">
        <v>20721</v>
      </c>
      <c r="T48" s="478">
        <v>16577</v>
      </c>
      <c r="U48" s="478">
        <v>0</v>
      </c>
      <c r="V48" s="478">
        <v>0</v>
      </c>
      <c r="W48" s="478">
        <v>0</v>
      </c>
      <c r="X48" s="478">
        <v>0</v>
      </c>
      <c r="Y48" s="478">
        <v>0</v>
      </c>
      <c r="Z48" s="478">
        <v>0</v>
      </c>
      <c r="AA48" s="485">
        <v>0</v>
      </c>
      <c r="AB48" s="478">
        <v>0</v>
      </c>
      <c r="AC48" s="478">
        <v>0</v>
      </c>
      <c r="AD48" s="488">
        <v>0</v>
      </c>
      <c r="AE48" s="478">
        <v>0</v>
      </c>
      <c r="AF48" s="488">
        <v>0</v>
      </c>
      <c r="AG48" s="478">
        <v>0</v>
      </c>
      <c r="AH48" s="478">
        <v>0</v>
      </c>
      <c r="AI48" s="478">
        <v>0</v>
      </c>
      <c r="AJ48" s="478">
        <v>0</v>
      </c>
      <c r="AK48" s="478"/>
      <c r="AL48" s="488"/>
      <c r="AM48" s="478"/>
      <c r="AN48" s="489"/>
    </row>
    <row r="49" spans="1:40" ht="18" customHeight="1" hidden="1">
      <c r="A49" s="445" t="s">
        <v>306</v>
      </c>
      <c r="B49" s="531" t="s">
        <v>315</v>
      </c>
      <c r="C49" s="452">
        <v>0</v>
      </c>
      <c r="D49" s="452">
        <v>0</v>
      </c>
      <c r="E49" s="453">
        <v>0</v>
      </c>
      <c r="F49" s="452">
        <v>0</v>
      </c>
      <c r="G49" s="452">
        <v>0</v>
      </c>
      <c r="H49" s="452">
        <v>0</v>
      </c>
      <c r="I49" s="452">
        <v>91930</v>
      </c>
      <c r="J49" s="478">
        <v>76608</v>
      </c>
      <c r="K49" s="452">
        <v>109269</v>
      </c>
      <c r="L49" s="478">
        <v>91058</v>
      </c>
      <c r="M49" s="452">
        <v>128276</v>
      </c>
      <c r="N49" s="478">
        <v>106897</v>
      </c>
      <c r="O49" s="452">
        <v>156997</v>
      </c>
      <c r="P49" s="488">
        <v>130831</v>
      </c>
      <c r="Q49" s="452">
        <v>178275</v>
      </c>
      <c r="R49" s="488">
        <v>147487</v>
      </c>
      <c r="S49" s="452">
        <v>90618</v>
      </c>
      <c r="T49" s="478">
        <v>75515</v>
      </c>
      <c r="U49" s="478">
        <v>69473</v>
      </c>
      <c r="V49" s="478">
        <v>57894</v>
      </c>
      <c r="W49" s="465">
        <v>36130</v>
      </c>
      <c r="X49" s="522">
        <v>30109</v>
      </c>
      <c r="Y49" s="465">
        <v>9700</v>
      </c>
      <c r="Z49" s="522">
        <v>8084</v>
      </c>
      <c r="AA49" s="485">
        <v>0</v>
      </c>
      <c r="AB49" s="478">
        <v>0</v>
      </c>
      <c r="AC49" s="478">
        <v>0</v>
      </c>
      <c r="AD49" s="488">
        <v>0</v>
      </c>
      <c r="AE49" s="478">
        <v>0</v>
      </c>
      <c r="AF49" s="488">
        <v>0</v>
      </c>
      <c r="AG49" s="478">
        <v>0</v>
      </c>
      <c r="AH49" s="478">
        <v>0</v>
      </c>
      <c r="AI49" s="478">
        <v>0</v>
      </c>
      <c r="AJ49" s="478">
        <v>0</v>
      </c>
      <c r="AK49" s="478"/>
      <c r="AL49" s="488"/>
      <c r="AM49" s="478"/>
      <c r="AN49" s="489"/>
    </row>
    <row r="50" spans="1:40" ht="17.25" customHeight="1">
      <c r="A50" s="445" t="s">
        <v>316</v>
      </c>
      <c r="B50" s="532" t="s">
        <v>317</v>
      </c>
      <c r="C50" s="453">
        <v>0</v>
      </c>
      <c r="D50" s="452">
        <v>0</v>
      </c>
      <c r="E50" s="453">
        <v>0</v>
      </c>
      <c r="F50" s="452">
        <v>0</v>
      </c>
      <c r="G50" s="452">
        <v>0</v>
      </c>
      <c r="H50" s="452">
        <v>0</v>
      </c>
      <c r="I50" s="453">
        <v>0</v>
      </c>
      <c r="J50" s="452">
        <v>0</v>
      </c>
      <c r="K50" s="478">
        <v>398455</v>
      </c>
      <c r="L50" s="478">
        <v>199228</v>
      </c>
      <c r="M50" s="478">
        <v>290591</v>
      </c>
      <c r="N50" s="478">
        <v>145295</v>
      </c>
      <c r="O50" s="478">
        <v>234756</v>
      </c>
      <c r="P50" s="488">
        <v>117378</v>
      </c>
      <c r="Q50" s="478">
        <v>199463</v>
      </c>
      <c r="R50" s="488">
        <v>99731</v>
      </c>
      <c r="S50" s="478">
        <v>165815</v>
      </c>
      <c r="T50" s="478">
        <v>82907</v>
      </c>
      <c r="U50" s="478">
        <v>0</v>
      </c>
      <c r="V50" s="478">
        <v>0</v>
      </c>
      <c r="W50" s="478">
        <v>123555</v>
      </c>
      <c r="X50" s="478">
        <v>74133</v>
      </c>
      <c r="Y50" s="478">
        <v>108227</v>
      </c>
      <c r="Z50" s="478">
        <v>64936</v>
      </c>
      <c r="AA50" s="485">
        <v>94696</v>
      </c>
      <c r="AB50" s="478">
        <v>75757</v>
      </c>
      <c r="AC50" s="478">
        <v>80313</v>
      </c>
      <c r="AD50" s="488">
        <v>64250</v>
      </c>
      <c r="AE50" s="478">
        <v>66936</v>
      </c>
      <c r="AF50" s="488">
        <v>55780</v>
      </c>
      <c r="AG50" s="478">
        <v>59508</v>
      </c>
      <c r="AH50" s="478">
        <v>49590</v>
      </c>
      <c r="AI50" s="478">
        <v>0</v>
      </c>
      <c r="AJ50" s="478">
        <v>0</v>
      </c>
      <c r="AK50" s="478">
        <v>0</v>
      </c>
      <c r="AL50" s="488">
        <v>0</v>
      </c>
      <c r="AM50" s="478">
        <v>0</v>
      </c>
      <c r="AN50" s="489">
        <v>0</v>
      </c>
    </row>
    <row r="51" spans="1:40" ht="18" customHeight="1" hidden="1">
      <c r="A51" s="445" t="s">
        <v>318</v>
      </c>
      <c r="B51" s="446" t="s">
        <v>319</v>
      </c>
      <c r="C51" s="452">
        <v>0</v>
      </c>
      <c r="D51" s="452">
        <v>0</v>
      </c>
      <c r="E51" s="453">
        <v>0</v>
      </c>
      <c r="F51" s="452">
        <v>0</v>
      </c>
      <c r="G51" s="452">
        <v>11626</v>
      </c>
      <c r="H51" s="452">
        <v>10463</v>
      </c>
      <c r="I51" s="452">
        <v>9231</v>
      </c>
      <c r="J51" s="452">
        <v>8308</v>
      </c>
      <c r="K51" s="452">
        <v>7329</v>
      </c>
      <c r="L51" s="452">
        <v>6596</v>
      </c>
      <c r="M51" s="452">
        <v>5819</v>
      </c>
      <c r="N51" s="452">
        <v>5238</v>
      </c>
      <c r="O51" s="452">
        <v>4621</v>
      </c>
      <c r="P51" s="453">
        <v>4159</v>
      </c>
      <c r="Q51" s="478">
        <v>0</v>
      </c>
      <c r="R51" s="488">
        <v>0</v>
      </c>
      <c r="S51" s="478">
        <v>0</v>
      </c>
      <c r="T51" s="478">
        <v>0</v>
      </c>
      <c r="U51" s="478">
        <v>0</v>
      </c>
      <c r="V51" s="478">
        <v>0</v>
      </c>
      <c r="W51" s="478">
        <v>0</v>
      </c>
      <c r="X51" s="478">
        <v>0</v>
      </c>
      <c r="Y51" s="478">
        <v>0</v>
      </c>
      <c r="Z51" s="478">
        <v>0</v>
      </c>
      <c r="AA51" s="485">
        <v>0</v>
      </c>
      <c r="AB51" s="478">
        <v>0</v>
      </c>
      <c r="AC51" s="478">
        <v>0</v>
      </c>
      <c r="AD51" s="488">
        <v>0</v>
      </c>
      <c r="AE51" s="478">
        <v>0</v>
      </c>
      <c r="AF51" s="488">
        <v>0</v>
      </c>
      <c r="AG51" s="478">
        <v>0</v>
      </c>
      <c r="AH51" s="478">
        <v>0</v>
      </c>
      <c r="AI51" s="478">
        <v>0</v>
      </c>
      <c r="AJ51" s="478">
        <v>0</v>
      </c>
      <c r="AK51" s="478"/>
      <c r="AL51" s="488"/>
      <c r="AM51" s="478"/>
      <c r="AN51" s="489"/>
    </row>
    <row r="52" spans="1:40" ht="17.25" customHeight="1">
      <c r="A52" s="445" t="s">
        <v>320</v>
      </c>
      <c r="B52" s="446" t="s">
        <v>321</v>
      </c>
      <c r="C52" s="452">
        <v>0</v>
      </c>
      <c r="D52" s="452">
        <v>0</v>
      </c>
      <c r="E52" s="453">
        <v>0</v>
      </c>
      <c r="F52" s="452">
        <v>0</v>
      </c>
      <c r="G52" s="452">
        <v>0</v>
      </c>
      <c r="H52" s="452">
        <v>0</v>
      </c>
      <c r="I52" s="478">
        <v>14539</v>
      </c>
      <c r="J52" s="478">
        <v>7269</v>
      </c>
      <c r="K52" s="478">
        <v>7971</v>
      </c>
      <c r="L52" s="478">
        <v>3986</v>
      </c>
      <c r="M52" s="478">
        <v>31264</v>
      </c>
      <c r="N52" s="478">
        <v>15632</v>
      </c>
      <c r="O52" s="478">
        <v>23054</v>
      </c>
      <c r="P52" s="488">
        <v>11527</v>
      </c>
      <c r="Q52" s="478">
        <v>8512</v>
      </c>
      <c r="R52" s="488">
        <v>4256</v>
      </c>
      <c r="S52" s="478">
        <v>0</v>
      </c>
      <c r="T52" s="478">
        <v>0</v>
      </c>
      <c r="U52" s="478">
        <v>0</v>
      </c>
      <c r="V52" s="478">
        <v>0</v>
      </c>
      <c r="W52" s="478">
        <v>0</v>
      </c>
      <c r="X52" s="478">
        <v>0</v>
      </c>
      <c r="Y52" s="478">
        <v>0</v>
      </c>
      <c r="Z52" s="478">
        <v>0</v>
      </c>
      <c r="AA52" s="485">
        <v>0</v>
      </c>
      <c r="AB52" s="478">
        <v>0</v>
      </c>
      <c r="AC52" s="478">
        <v>4535</v>
      </c>
      <c r="AD52" s="488">
        <v>2268</v>
      </c>
      <c r="AE52" s="478">
        <v>2549</v>
      </c>
      <c r="AF52" s="488">
        <v>1274</v>
      </c>
      <c r="AG52" s="478">
        <v>1432</v>
      </c>
      <c r="AH52" s="478">
        <v>716</v>
      </c>
      <c r="AI52" s="478">
        <v>0</v>
      </c>
      <c r="AJ52" s="478">
        <v>0</v>
      </c>
      <c r="AK52" s="478">
        <v>0</v>
      </c>
      <c r="AL52" s="488">
        <v>0</v>
      </c>
      <c r="AM52" s="478">
        <v>0</v>
      </c>
      <c r="AN52" s="489">
        <v>0</v>
      </c>
    </row>
    <row r="53" spans="1:40" ht="18" customHeight="1" hidden="1">
      <c r="A53" s="445" t="s">
        <v>322</v>
      </c>
      <c r="B53" s="446" t="s">
        <v>323</v>
      </c>
      <c r="C53" s="452">
        <v>0</v>
      </c>
      <c r="D53" s="452">
        <v>0</v>
      </c>
      <c r="E53" s="453">
        <v>0</v>
      </c>
      <c r="F53" s="452">
        <v>0</v>
      </c>
      <c r="G53" s="452">
        <v>0</v>
      </c>
      <c r="H53" s="452">
        <v>0</v>
      </c>
      <c r="I53" s="452">
        <v>0</v>
      </c>
      <c r="J53" s="452">
        <v>0</v>
      </c>
      <c r="K53" s="452">
        <v>0</v>
      </c>
      <c r="L53" s="452">
        <v>0</v>
      </c>
      <c r="M53" s="452">
        <v>0</v>
      </c>
      <c r="N53" s="452">
        <v>0</v>
      </c>
      <c r="O53" s="478">
        <v>0</v>
      </c>
      <c r="P53" s="488">
        <v>0</v>
      </c>
      <c r="Q53" s="478">
        <v>0</v>
      </c>
      <c r="R53" s="488">
        <v>0</v>
      </c>
      <c r="S53" s="478">
        <v>0</v>
      </c>
      <c r="T53" s="478">
        <v>0</v>
      </c>
      <c r="U53" s="478"/>
      <c r="V53" s="478"/>
      <c r="W53" s="465"/>
      <c r="X53" s="465"/>
      <c r="Y53" s="465"/>
      <c r="Z53" s="465"/>
      <c r="AA53" s="522"/>
      <c r="AB53" s="465"/>
      <c r="AC53" s="465"/>
      <c r="AD53" s="487"/>
      <c r="AE53" s="465"/>
      <c r="AF53" s="487"/>
      <c r="AG53" s="465"/>
      <c r="AH53" s="465"/>
      <c r="AI53" s="465"/>
      <c r="AJ53" s="465"/>
      <c r="AK53" s="465"/>
      <c r="AL53" s="487"/>
      <c r="AM53" s="465"/>
      <c r="AN53" s="525"/>
    </row>
    <row r="54" spans="1:40" ht="18" customHeight="1" hidden="1">
      <c r="A54" s="445" t="s">
        <v>306</v>
      </c>
      <c r="B54" s="446" t="s">
        <v>324</v>
      </c>
      <c r="C54" s="488">
        <v>0</v>
      </c>
      <c r="D54" s="478">
        <v>0</v>
      </c>
      <c r="E54" s="488">
        <v>0</v>
      </c>
      <c r="F54" s="478">
        <v>0</v>
      </c>
      <c r="G54" s="478">
        <v>0</v>
      </c>
      <c r="H54" s="478">
        <v>0</v>
      </c>
      <c r="I54" s="478">
        <v>0</v>
      </c>
      <c r="J54" s="478">
        <v>0</v>
      </c>
      <c r="K54" s="478">
        <v>0</v>
      </c>
      <c r="L54" s="478">
        <v>0</v>
      </c>
      <c r="M54" s="478">
        <v>0</v>
      </c>
      <c r="N54" s="478">
        <v>0</v>
      </c>
      <c r="O54" s="478">
        <v>0</v>
      </c>
      <c r="P54" s="488">
        <v>0</v>
      </c>
      <c r="Q54" s="478">
        <v>0</v>
      </c>
      <c r="R54" s="488">
        <v>0</v>
      </c>
      <c r="S54" s="478">
        <v>0</v>
      </c>
      <c r="T54" s="478">
        <v>0</v>
      </c>
      <c r="U54" s="478"/>
      <c r="V54" s="478"/>
      <c r="W54" s="465"/>
      <c r="X54" s="465"/>
      <c r="Y54" s="465"/>
      <c r="Z54" s="465"/>
      <c r="AA54" s="522"/>
      <c r="AB54" s="465"/>
      <c r="AC54" s="465"/>
      <c r="AD54" s="487"/>
      <c r="AE54" s="465"/>
      <c r="AF54" s="487"/>
      <c r="AG54" s="465"/>
      <c r="AH54" s="465"/>
      <c r="AI54" s="465"/>
      <c r="AJ54" s="465"/>
      <c r="AK54" s="465"/>
      <c r="AL54" s="487"/>
      <c r="AM54" s="465"/>
      <c r="AN54" s="525"/>
    </row>
    <row r="55" spans="1:40" ht="18" customHeight="1" hidden="1">
      <c r="A55" s="445" t="s">
        <v>306</v>
      </c>
      <c r="B55" s="446" t="s">
        <v>325</v>
      </c>
      <c r="C55" s="487">
        <v>367829</v>
      </c>
      <c r="D55" s="465">
        <v>331046</v>
      </c>
      <c r="E55" s="487">
        <v>84898</v>
      </c>
      <c r="F55" s="465">
        <v>76408</v>
      </c>
      <c r="G55" s="478">
        <v>0</v>
      </c>
      <c r="H55" s="478">
        <v>0</v>
      </c>
      <c r="I55" s="478">
        <v>0</v>
      </c>
      <c r="J55" s="478">
        <v>0</v>
      </c>
      <c r="K55" s="478">
        <v>0</v>
      </c>
      <c r="L55" s="478">
        <v>0</v>
      </c>
      <c r="M55" s="478">
        <v>0</v>
      </c>
      <c r="N55" s="478">
        <v>0</v>
      </c>
      <c r="O55" s="478">
        <v>0</v>
      </c>
      <c r="P55" s="488">
        <v>0</v>
      </c>
      <c r="Q55" s="478">
        <v>0</v>
      </c>
      <c r="R55" s="488">
        <v>0</v>
      </c>
      <c r="S55" s="478">
        <v>0</v>
      </c>
      <c r="T55" s="478">
        <v>0</v>
      </c>
      <c r="U55" s="478"/>
      <c r="V55" s="478"/>
      <c r="W55" s="465"/>
      <c r="X55" s="465"/>
      <c r="Y55" s="465"/>
      <c r="Z55" s="465"/>
      <c r="AA55" s="522"/>
      <c r="AB55" s="465"/>
      <c r="AC55" s="465"/>
      <c r="AD55" s="487"/>
      <c r="AE55" s="465"/>
      <c r="AF55" s="487"/>
      <c r="AG55" s="465"/>
      <c r="AH55" s="465"/>
      <c r="AI55" s="465"/>
      <c r="AJ55" s="465"/>
      <c r="AK55" s="465"/>
      <c r="AL55" s="487"/>
      <c r="AM55" s="465"/>
      <c r="AN55" s="525"/>
    </row>
    <row r="56" spans="1:40" ht="17.25" customHeight="1">
      <c r="A56" s="445" t="s">
        <v>326</v>
      </c>
      <c r="B56" s="446" t="s">
        <v>327</v>
      </c>
      <c r="C56" s="452"/>
      <c r="D56" s="452"/>
      <c r="E56" s="453"/>
      <c r="F56" s="452"/>
      <c r="G56" s="452"/>
      <c r="H56" s="452"/>
      <c r="I56" s="453"/>
      <c r="J56" s="452"/>
      <c r="K56" s="478"/>
      <c r="L56" s="478"/>
      <c r="M56" s="478">
        <v>0</v>
      </c>
      <c r="N56" s="478">
        <v>0</v>
      </c>
      <c r="O56" s="478">
        <v>0</v>
      </c>
      <c r="P56" s="478">
        <v>0</v>
      </c>
      <c r="Q56" s="478">
        <v>0</v>
      </c>
      <c r="R56" s="478">
        <v>0</v>
      </c>
      <c r="S56" s="478">
        <v>0</v>
      </c>
      <c r="T56" s="478">
        <v>0</v>
      </c>
      <c r="U56" s="478">
        <v>73733</v>
      </c>
      <c r="V56" s="478">
        <v>49155</v>
      </c>
      <c r="W56" s="465">
        <v>888792</v>
      </c>
      <c r="X56" s="522">
        <v>592528</v>
      </c>
      <c r="Y56" s="465">
        <v>3636553</v>
      </c>
      <c r="Z56" s="522">
        <v>2424369</v>
      </c>
      <c r="AA56" s="522">
        <v>5091291</v>
      </c>
      <c r="AB56" s="465">
        <v>3394194</v>
      </c>
      <c r="AC56" s="465">
        <v>3757868</v>
      </c>
      <c r="AD56" s="523">
        <v>2487861</v>
      </c>
      <c r="AE56" s="465">
        <v>1520555</v>
      </c>
      <c r="AF56" s="523">
        <v>1013703</v>
      </c>
      <c r="AG56" s="465">
        <v>158566</v>
      </c>
      <c r="AH56" s="522">
        <v>105710</v>
      </c>
      <c r="AI56" s="478">
        <v>0</v>
      </c>
      <c r="AJ56" s="478">
        <v>0</v>
      </c>
      <c r="AK56" s="478">
        <v>0</v>
      </c>
      <c r="AL56" s="488">
        <v>0</v>
      </c>
      <c r="AM56" s="478">
        <v>0</v>
      </c>
      <c r="AN56" s="489">
        <v>0</v>
      </c>
    </row>
    <row r="57" spans="1:40" ht="18" customHeight="1" hidden="1">
      <c r="A57" s="445" t="s">
        <v>328</v>
      </c>
      <c r="B57" s="446" t="s">
        <v>329</v>
      </c>
      <c r="C57" s="465">
        <v>0</v>
      </c>
      <c r="D57" s="465">
        <v>0</v>
      </c>
      <c r="E57" s="487">
        <v>0</v>
      </c>
      <c r="F57" s="465">
        <v>0</v>
      </c>
      <c r="G57" s="478">
        <v>0</v>
      </c>
      <c r="H57" s="478">
        <v>0</v>
      </c>
      <c r="I57" s="478">
        <v>31576</v>
      </c>
      <c r="J57" s="478">
        <v>25261</v>
      </c>
      <c r="K57" s="478">
        <v>48404</v>
      </c>
      <c r="L57" s="478">
        <v>38723</v>
      </c>
      <c r="M57" s="478">
        <v>200671</v>
      </c>
      <c r="N57" s="478">
        <v>160537</v>
      </c>
      <c r="O57" s="478">
        <v>180916</v>
      </c>
      <c r="P57" s="488">
        <v>144733</v>
      </c>
      <c r="Q57" s="478">
        <v>133047</v>
      </c>
      <c r="R57" s="488">
        <v>106437</v>
      </c>
      <c r="S57" s="478">
        <v>102427</v>
      </c>
      <c r="T57" s="478">
        <v>81941</v>
      </c>
      <c r="U57" s="478">
        <v>72850</v>
      </c>
      <c r="V57" s="478">
        <v>58280</v>
      </c>
      <c r="W57" s="465">
        <v>13341</v>
      </c>
      <c r="X57" s="522">
        <v>10673</v>
      </c>
      <c r="Y57" s="465">
        <v>3696</v>
      </c>
      <c r="Z57" s="522">
        <v>2957</v>
      </c>
      <c r="AA57" s="485">
        <v>0</v>
      </c>
      <c r="AB57" s="485">
        <v>0</v>
      </c>
      <c r="AC57" s="478">
        <v>0</v>
      </c>
      <c r="AD57" s="527">
        <v>0</v>
      </c>
      <c r="AE57" s="478">
        <v>0</v>
      </c>
      <c r="AF57" s="527">
        <v>0</v>
      </c>
      <c r="AG57" s="478">
        <v>0</v>
      </c>
      <c r="AH57" s="485">
        <v>0</v>
      </c>
      <c r="AI57" s="478"/>
      <c r="AJ57" s="478"/>
      <c r="AK57" s="478"/>
      <c r="AL57" s="488"/>
      <c r="AM57" s="478"/>
      <c r="AN57" s="489"/>
    </row>
    <row r="58" spans="1:40" ht="17.25" customHeight="1">
      <c r="A58" s="445" t="s">
        <v>330</v>
      </c>
      <c r="B58" s="446" t="s">
        <v>292</v>
      </c>
      <c r="C58" s="452"/>
      <c r="D58" s="452"/>
      <c r="E58" s="453"/>
      <c r="F58" s="452"/>
      <c r="G58" s="452"/>
      <c r="H58" s="452"/>
      <c r="I58" s="453"/>
      <c r="J58" s="452"/>
      <c r="K58" s="478"/>
      <c r="L58" s="478"/>
      <c r="M58" s="478"/>
      <c r="N58" s="478"/>
      <c r="O58" s="478"/>
      <c r="P58" s="488"/>
      <c r="Q58" s="478"/>
      <c r="R58" s="488"/>
      <c r="S58" s="478"/>
      <c r="T58" s="478"/>
      <c r="U58" s="478"/>
      <c r="V58" s="478"/>
      <c r="W58" s="478"/>
      <c r="X58" s="485"/>
      <c r="Y58" s="478">
        <v>0</v>
      </c>
      <c r="Z58" s="485">
        <v>0</v>
      </c>
      <c r="AA58" s="485">
        <v>0</v>
      </c>
      <c r="AB58" s="478">
        <v>0</v>
      </c>
      <c r="AC58" s="478">
        <v>0</v>
      </c>
      <c r="AD58" s="527">
        <v>0</v>
      </c>
      <c r="AE58" s="478">
        <v>0</v>
      </c>
      <c r="AF58" s="527">
        <v>0</v>
      </c>
      <c r="AG58" s="478">
        <v>624950</v>
      </c>
      <c r="AH58" s="485">
        <v>0</v>
      </c>
      <c r="AI58" s="478">
        <v>2267427</v>
      </c>
      <c r="AJ58" s="478">
        <v>0</v>
      </c>
      <c r="AK58" s="486">
        <v>3725073</v>
      </c>
      <c r="AL58" s="528" t="s">
        <v>164</v>
      </c>
      <c r="AM58" s="486">
        <v>3199734</v>
      </c>
      <c r="AN58" s="529" t="s">
        <v>164</v>
      </c>
    </row>
    <row r="59" spans="1:40" ht="17.25" customHeight="1">
      <c r="A59" s="445" t="s">
        <v>331</v>
      </c>
      <c r="B59" s="446" t="s">
        <v>332</v>
      </c>
      <c r="C59" s="452"/>
      <c r="D59" s="452"/>
      <c r="E59" s="453">
        <v>0</v>
      </c>
      <c r="F59" s="452">
        <v>0</v>
      </c>
      <c r="G59" s="452">
        <v>0</v>
      </c>
      <c r="H59" s="452">
        <v>0</v>
      </c>
      <c r="I59" s="453">
        <v>0</v>
      </c>
      <c r="J59" s="452">
        <v>0</v>
      </c>
      <c r="K59" s="478">
        <v>0</v>
      </c>
      <c r="L59" s="478">
        <v>0</v>
      </c>
      <c r="M59" s="478">
        <v>0</v>
      </c>
      <c r="N59" s="478">
        <v>0</v>
      </c>
      <c r="O59" s="478">
        <v>0</v>
      </c>
      <c r="P59" s="488">
        <v>0</v>
      </c>
      <c r="Q59" s="478">
        <v>0</v>
      </c>
      <c r="R59" s="488">
        <v>0</v>
      </c>
      <c r="S59" s="478">
        <v>0</v>
      </c>
      <c r="T59" s="478">
        <v>0</v>
      </c>
      <c r="U59" s="478">
        <v>0</v>
      </c>
      <c r="V59" s="478">
        <v>0</v>
      </c>
      <c r="W59" s="478">
        <v>0</v>
      </c>
      <c r="X59" s="478">
        <v>0</v>
      </c>
      <c r="Y59" s="478">
        <v>0</v>
      </c>
      <c r="Z59" s="478">
        <v>0</v>
      </c>
      <c r="AA59" s="485">
        <v>0</v>
      </c>
      <c r="AB59" s="478">
        <v>0</v>
      </c>
      <c r="AC59" s="478">
        <v>421868</v>
      </c>
      <c r="AD59" s="488">
        <v>210934</v>
      </c>
      <c r="AE59" s="478">
        <v>1831719</v>
      </c>
      <c r="AF59" s="488">
        <v>915860</v>
      </c>
      <c r="AG59" s="478">
        <v>3278963</v>
      </c>
      <c r="AH59" s="478">
        <v>1639482</v>
      </c>
      <c r="AI59" s="478">
        <v>2729715</v>
      </c>
      <c r="AJ59" s="478">
        <v>1364857</v>
      </c>
      <c r="AK59" s="478">
        <v>878351</v>
      </c>
      <c r="AL59" s="488">
        <v>439176</v>
      </c>
      <c r="AM59" s="478">
        <v>59502</v>
      </c>
      <c r="AN59" s="489">
        <v>29751</v>
      </c>
    </row>
    <row r="60" spans="1:40" ht="18" customHeight="1">
      <c r="A60" s="717" t="s">
        <v>56</v>
      </c>
      <c r="B60" s="718"/>
      <c r="C60" s="533">
        <v>1702459</v>
      </c>
      <c r="D60" s="533">
        <v>1137890</v>
      </c>
      <c r="E60" s="533">
        <f>SUM(E15:E27)+SUM(E29:E31)+SUM(E36:E55)+E11+E14</f>
        <v>2808617</v>
      </c>
      <c r="F60" s="533">
        <f>SUM(F15:F27)+SUM(F29:F31)+SUM(F36:F55)+F11+F14</f>
        <v>1539589</v>
      </c>
      <c r="G60" s="533">
        <f>SUM(G29:G31)+SUM(G36:G55)+G11+G14+G15+G20+G21+G27+G23</f>
        <v>2506585</v>
      </c>
      <c r="H60" s="533">
        <f>SUM(H29:H31)+SUM(H36:H55)+H11+H14+H15+H20+H21+H27+H23</f>
        <v>1388493</v>
      </c>
      <c r="I60" s="533">
        <f aca="true" t="shared" si="3" ref="I60:X60">SUM(I29:I32)+SUM(I36:I57)+I11+I14+I15+I20+I21+I27+I23</f>
        <v>2506306</v>
      </c>
      <c r="J60" s="533">
        <f t="shared" si="3"/>
        <v>1405934</v>
      </c>
      <c r="K60" s="533">
        <f t="shared" si="3"/>
        <v>2517045</v>
      </c>
      <c r="L60" s="533">
        <f t="shared" si="3"/>
        <v>1360793</v>
      </c>
      <c r="M60" s="533">
        <f t="shared" si="3"/>
        <v>2969995</v>
      </c>
      <c r="N60" s="533">
        <f t="shared" si="3"/>
        <v>1784549</v>
      </c>
      <c r="O60" s="533">
        <f t="shared" si="3"/>
        <v>3044256</v>
      </c>
      <c r="P60" s="534">
        <f t="shared" si="3"/>
        <v>1502440</v>
      </c>
      <c r="Q60" s="533">
        <f t="shared" si="3"/>
        <v>2481953</v>
      </c>
      <c r="R60" s="534">
        <f t="shared" si="3"/>
        <v>1204191</v>
      </c>
      <c r="S60" s="533">
        <f t="shared" si="3"/>
        <v>1956044</v>
      </c>
      <c r="T60" s="533">
        <f t="shared" si="3"/>
        <v>929736</v>
      </c>
      <c r="U60" s="533">
        <f t="shared" si="3"/>
        <v>1620350</v>
      </c>
      <c r="V60" s="533">
        <f t="shared" si="3"/>
        <v>733173</v>
      </c>
      <c r="W60" s="533">
        <f t="shared" si="3"/>
        <v>2258204</v>
      </c>
      <c r="X60" s="533">
        <f t="shared" si="3"/>
        <v>1204184</v>
      </c>
      <c r="Y60" s="533">
        <f aca="true" t="shared" si="4" ref="Y60:AN60">SUM(Y12:Y59)-Y14-Y20</f>
        <v>4900385</v>
      </c>
      <c r="Z60" s="534">
        <f t="shared" si="4"/>
        <v>2984775</v>
      </c>
      <c r="AA60" s="533">
        <f t="shared" si="4"/>
        <v>6328564</v>
      </c>
      <c r="AB60" s="533">
        <f t="shared" si="4"/>
        <v>3967999</v>
      </c>
      <c r="AC60" s="533">
        <f t="shared" si="4"/>
        <v>5379230</v>
      </c>
      <c r="AD60" s="533">
        <f t="shared" si="4"/>
        <v>3262798</v>
      </c>
      <c r="AE60" s="533">
        <f t="shared" si="4"/>
        <v>4631696</v>
      </c>
      <c r="AF60" s="534">
        <f t="shared" si="4"/>
        <v>2535391</v>
      </c>
      <c r="AG60" s="533">
        <f t="shared" si="4"/>
        <v>6054361</v>
      </c>
      <c r="AH60" s="533">
        <f t="shared" si="4"/>
        <v>2394452</v>
      </c>
      <c r="AI60" s="533">
        <f t="shared" si="4"/>
        <v>8899806</v>
      </c>
      <c r="AJ60" s="533">
        <f t="shared" si="4"/>
        <v>2129666</v>
      </c>
      <c r="AK60" s="533">
        <f t="shared" si="4"/>
        <v>6230717</v>
      </c>
      <c r="AL60" s="534">
        <f t="shared" si="4"/>
        <v>1200497</v>
      </c>
      <c r="AM60" s="533">
        <f t="shared" si="4"/>
        <v>4560537</v>
      </c>
      <c r="AN60" s="535">
        <f t="shared" si="4"/>
        <v>624604</v>
      </c>
    </row>
    <row r="61" spans="1:40" ht="18" customHeight="1" thickBot="1">
      <c r="A61" s="719" t="s">
        <v>4</v>
      </c>
      <c r="B61" s="720"/>
      <c r="C61" s="536">
        <v>62.5</v>
      </c>
      <c r="D61" s="536">
        <v>59.5</v>
      </c>
      <c r="E61" s="537">
        <f>ROUND((E60/C60)*100,1)</f>
        <v>165</v>
      </c>
      <c r="F61" s="536">
        <f>ROUND((F60/D60)*100,1)</f>
        <v>135.3</v>
      </c>
      <c r="G61" s="536">
        <f aca="true" t="shared" si="5" ref="G61:AH61">ROUND((G60/E60)*100,1)</f>
        <v>89.2</v>
      </c>
      <c r="H61" s="536">
        <f t="shared" si="5"/>
        <v>90.2</v>
      </c>
      <c r="I61" s="536">
        <f t="shared" si="5"/>
        <v>100</v>
      </c>
      <c r="J61" s="536">
        <f t="shared" si="5"/>
        <v>101.3</v>
      </c>
      <c r="K61" s="536">
        <f>ROUND((K60/I60)*100,1)</f>
        <v>100.4</v>
      </c>
      <c r="L61" s="536">
        <f t="shared" si="5"/>
        <v>96.8</v>
      </c>
      <c r="M61" s="536">
        <f t="shared" si="5"/>
        <v>118</v>
      </c>
      <c r="N61" s="536">
        <f t="shared" si="5"/>
        <v>131.1</v>
      </c>
      <c r="O61" s="536">
        <f t="shared" si="5"/>
        <v>102.5</v>
      </c>
      <c r="P61" s="536">
        <f t="shared" si="5"/>
        <v>84.2</v>
      </c>
      <c r="Q61" s="536">
        <f t="shared" si="5"/>
        <v>81.5</v>
      </c>
      <c r="R61" s="537">
        <f t="shared" si="5"/>
        <v>80.1</v>
      </c>
      <c r="S61" s="536">
        <f t="shared" si="5"/>
        <v>78.8</v>
      </c>
      <c r="T61" s="537">
        <f t="shared" si="5"/>
        <v>77.2</v>
      </c>
      <c r="U61" s="536">
        <f t="shared" si="5"/>
        <v>82.8</v>
      </c>
      <c r="V61" s="536">
        <f t="shared" si="5"/>
        <v>78.9</v>
      </c>
      <c r="W61" s="536">
        <f t="shared" si="5"/>
        <v>139.4</v>
      </c>
      <c r="X61" s="536">
        <f t="shared" si="5"/>
        <v>164.2</v>
      </c>
      <c r="Y61" s="538">
        <f t="shared" si="5"/>
        <v>217</v>
      </c>
      <c r="Z61" s="539">
        <f t="shared" si="5"/>
        <v>247.9</v>
      </c>
      <c r="AA61" s="538">
        <f>ROUND((AA60/Y60)*100,1)</f>
        <v>129.1</v>
      </c>
      <c r="AB61" s="540">
        <f>ROUND((AB60/Z60)*100,1)</f>
        <v>132.9</v>
      </c>
      <c r="AC61" s="538">
        <f t="shared" si="5"/>
        <v>85</v>
      </c>
      <c r="AD61" s="539">
        <f t="shared" si="5"/>
        <v>82.2</v>
      </c>
      <c r="AE61" s="538">
        <f>ROUND((AE60/AC60)*100,1)</f>
        <v>86.1</v>
      </c>
      <c r="AF61" s="539">
        <f t="shared" si="5"/>
        <v>77.7</v>
      </c>
      <c r="AG61" s="538">
        <f>ROUND((AG60/AE60)*100,1)</f>
        <v>130.7</v>
      </c>
      <c r="AH61" s="540">
        <f t="shared" si="5"/>
        <v>94.4</v>
      </c>
      <c r="AI61" s="538">
        <f>ROUND((AI60/AE60)*100,1)</f>
        <v>192.2</v>
      </c>
      <c r="AJ61" s="538">
        <f>ROUND((AJ60/AH60)*100,1)</f>
        <v>88.9</v>
      </c>
      <c r="AK61" s="538">
        <f>ROUND((AK60/AI60)*100,1)</f>
        <v>70</v>
      </c>
      <c r="AL61" s="541">
        <f>ROUND((AL60/AJ60)*100,1)</f>
        <v>56.4</v>
      </c>
      <c r="AM61" s="538">
        <f>ROUND((AM60/AK60)*100,1)</f>
        <v>73.2</v>
      </c>
      <c r="AN61" s="542">
        <f>ROUND((AN60/AL60)*100,1)</f>
        <v>52</v>
      </c>
    </row>
    <row r="62" spans="1:40" ht="13.5">
      <c r="A62" s="434" t="s">
        <v>333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</row>
    <row r="63" ht="13.5">
      <c r="D63" s="435" t="s">
        <v>100</v>
      </c>
    </row>
    <row r="64" ht="13.5">
      <c r="C64" s="435" t="s">
        <v>100</v>
      </c>
    </row>
  </sheetData>
  <sheetProtection/>
  <mergeCells count="24">
    <mergeCell ref="A4:B5"/>
    <mergeCell ref="C4:D4"/>
    <mergeCell ref="E4:F4"/>
    <mergeCell ref="G4:H4"/>
    <mergeCell ref="I4:J4"/>
    <mergeCell ref="K4:L4"/>
    <mergeCell ref="AG4:AH4"/>
    <mergeCell ref="AI4:AJ4"/>
    <mergeCell ref="M4:N4"/>
    <mergeCell ref="O4:P4"/>
    <mergeCell ref="Q4:R4"/>
    <mergeCell ref="S4:T4"/>
    <mergeCell ref="U4:V4"/>
    <mergeCell ref="W4:X4"/>
    <mergeCell ref="AK4:AL4"/>
    <mergeCell ref="AM4:AN4"/>
    <mergeCell ref="A17:A20"/>
    <mergeCell ref="A25:A26"/>
    <mergeCell ref="A60:B60"/>
    <mergeCell ref="A61:B61"/>
    <mergeCell ref="Y4:Z4"/>
    <mergeCell ref="AA4:AB4"/>
    <mergeCell ref="AC4:AD4"/>
    <mergeCell ref="AE4:AF4"/>
  </mergeCells>
  <printOptions horizontalCentered="1"/>
  <pageMargins left="0.5905511811023623" right="0.5905511811023623" top="0.3937007874015748" bottom="0.1968503937007874" header="0.5905511811023623" footer="0.1968503937007874"/>
  <pageSetup fitToWidth="0" horizontalDpi="300" verticalDpi="300" orientation="portrait" paperSize="9" scale="101" r:id="rId1"/>
  <colBreaks count="1" manualBreakCount="1">
    <brk id="34" max="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1.125" style="545" bestFit="1" customWidth="1"/>
    <col min="2" max="2" width="11.00390625" style="545" bestFit="1" customWidth="1"/>
    <col min="3" max="3" width="15.25390625" style="545" bestFit="1" customWidth="1"/>
    <col min="4" max="4" width="12.375" style="545" bestFit="1" customWidth="1"/>
    <col min="5" max="5" width="9.75390625" style="545" bestFit="1" customWidth="1"/>
    <col min="6" max="6" width="9.125" style="545" bestFit="1" customWidth="1"/>
    <col min="7" max="7" width="11.125" style="545" bestFit="1" customWidth="1"/>
    <col min="8" max="8" width="9.125" style="545" bestFit="1" customWidth="1"/>
    <col min="9" max="16384" width="9.00390625" style="545" customWidth="1"/>
  </cols>
  <sheetData>
    <row r="1" spans="1:8" ht="27" customHeight="1">
      <c r="A1" s="543" t="s">
        <v>334</v>
      </c>
      <c r="B1" s="544"/>
      <c r="C1" s="544"/>
      <c r="D1" s="544"/>
      <c r="E1" s="544"/>
      <c r="F1" s="544"/>
      <c r="G1" s="544"/>
      <c r="H1" s="544"/>
    </row>
    <row r="2" spans="1:8" ht="42" customHeight="1" thickBot="1">
      <c r="A2" s="546"/>
      <c r="B2" s="544"/>
      <c r="C2" s="544"/>
      <c r="D2" s="544"/>
      <c r="E2" s="544"/>
      <c r="F2" s="544"/>
      <c r="G2" s="544"/>
      <c r="H2" s="547" t="s">
        <v>154</v>
      </c>
    </row>
    <row r="3" spans="1:8" ht="24.75" customHeight="1">
      <c r="A3" s="733" t="s">
        <v>60</v>
      </c>
      <c r="B3" s="735" t="s">
        <v>13</v>
      </c>
      <c r="C3" s="737" t="s">
        <v>335</v>
      </c>
      <c r="D3" s="735" t="s">
        <v>336</v>
      </c>
      <c r="E3" s="735" t="s">
        <v>337</v>
      </c>
      <c r="F3" s="739" t="s">
        <v>67</v>
      </c>
      <c r="G3" s="739"/>
      <c r="H3" s="740"/>
    </row>
    <row r="4" spans="1:8" ht="24.75" customHeight="1">
      <c r="A4" s="734"/>
      <c r="B4" s="736"/>
      <c r="C4" s="738"/>
      <c r="D4" s="736"/>
      <c r="E4" s="736"/>
      <c r="F4" s="548" t="s">
        <v>338</v>
      </c>
      <c r="G4" s="548" t="s">
        <v>336</v>
      </c>
      <c r="H4" s="549" t="s">
        <v>337</v>
      </c>
    </row>
    <row r="5" spans="1:8" ht="30" customHeight="1" hidden="1">
      <c r="A5" s="550"/>
      <c r="B5" s="551" t="s">
        <v>339</v>
      </c>
      <c r="C5" s="552">
        <v>7699826</v>
      </c>
      <c r="D5" s="552">
        <v>2740158</v>
      </c>
      <c r="E5" s="552">
        <v>38361</v>
      </c>
      <c r="F5" s="553">
        <v>90.9</v>
      </c>
      <c r="G5" s="554">
        <v>91.2</v>
      </c>
      <c r="H5" s="555">
        <v>91.2</v>
      </c>
    </row>
    <row r="6" spans="1:8" ht="30" customHeight="1" hidden="1">
      <c r="A6" s="556" t="s">
        <v>36</v>
      </c>
      <c r="B6" s="557" t="s">
        <v>55</v>
      </c>
      <c r="C6" s="558">
        <v>17599274</v>
      </c>
      <c r="D6" s="558">
        <v>6181775</v>
      </c>
      <c r="E6" s="558">
        <v>86545</v>
      </c>
      <c r="F6" s="554">
        <v>97.6</v>
      </c>
      <c r="G6" s="554">
        <v>98.7</v>
      </c>
      <c r="H6" s="559">
        <v>98.7</v>
      </c>
    </row>
    <row r="7" spans="1:8" ht="30" customHeight="1" hidden="1">
      <c r="A7" s="556"/>
      <c r="B7" s="551" t="s">
        <v>3</v>
      </c>
      <c r="C7" s="552">
        <f>C5+C6</f>
        <v>25299100</v>
      </c>
      <c r="D7" s="552">
        <f>D5+D6</f>
        <v>8921933</v>
      </c>
      <c r="E7" s="552">
        <f>E5+E6</f>
        <v>124906</v>
      </c>
      <c r="F7" s="560">
        <v>95.4</v>
      </c>
      <c r="G7" s="560">
        <v>96.3</v>
      </c>
      <c r="H7" s="561">
        <v>96.3</v>
      </c>
    </row>
    <row r="8" spans="1:8" ht="30" customHeight="1" hidden="1">
      <c r="A8" s="562"/>
      <c r="B8" s="551" t="s">
        <v>339</v>
      </c>
      <c r="C8" s="552">
        <v>6148223</v>
      </c>
      <c r="D8" s="552">
        <v>2278303</v>
      </c>
      <c r="E8" s="552">
        <v>31895</v>
      </c>
      <c r="F8" s="553">
        <f aca="true" t="shared" si="0" ref="F8:H23">ROUND((C8/C5)*100,1)</f>
        <v>79.8</v>
      </c>
      <c r="G8" s="553">
        <f t="shared" si="0"/>
        <v>83.1</v>
      </c>
      <c r="H8" s="555">
        <f t="shared" si="0"/>
        <v>83.1</v>
      </c>
    </row>
    <row r="9" spans="1:8" ht="30" customHeight="1" hidden="1">
      <c r="A9" s="556" t="s">
        <v>86</v>
      </c>
      <c r="B9" s="557" t="s">
        <v>55</v>
      </c>
      <c r="C9" s="558">
        <v>16919728</v>
      </c>
      <c r="D9" s="558">
        <v>6074428</v>
      </c>
      <c r="E9" s="558">
        <v>85042</v>
      </c>
      <c r="F9" s="554">
        <f t="shared" si="0"/>
        <v>96.1</v>
      </c>
      <c r="G9" s="554">
        <f t="shared" si="0"/>
        <v>98.3</v>
      </c>
      <c r="H9" s="559">
        <f t="shared" si="0"/>
        <v>98.3</v>
      </c>
    </row>
    <row r="10" spans="1:8" ht="30" customHeight="1" hidden="1">
      <c r="A10" s="563"/>
      <c r="B10" s="564" t="s">
        <v>3</v>
      </c>
      <c r="C10" s="565">
        <f>C8+C9</f>
        <v>23067951</v>
      </c>
      <c r="D10" s="565">
        <f>D8+D9</f>
        <v>8352731</v>
      </c>
      <c r="E10" s="565">
        <f>E8+E9</f>
        <v>116937</v>
      </c>
      <c r="F10" s="566">
        <f t="shared" si="0"/>
        <v>91.2</v>
      </c>
      <c r="G10" s="566">
        <f t="shared" si="0"/>
        <v>93.6</v>
      </c>
      <c r="H10" s="567">
        <f t="shared" si="0"/>
        <v>93.6</v>
      </c>
    </row>
    <row r="11" spans="1:8" ht="30" customHeight="1" hidden="1">
      <c r="A11" s="562"/>
      <c r="B11" s="551" t="s">
        <v>339</v>
      </c>
      <c r="C11" s="558">
        <v>6041975</v>
      </c>
      <c r="D11" s="558">
        <v>2171622</v>
      </c>
      <c r="E11" s="558">
        <v>30402</v>
      </c>
      <c r="F11" s="553">
        <f t="shared" si="0"/>
        <v>98.3</v>
      </c>
      <c r="G11" s="553">
        <f t="shared" si="0"/>
        <v>95.3</v>
      </c>
      <c r="H11" s="555">
        <f t="shared" si="0"/>
        <v>95.3</v>
      </c>
    </row>
    <row r="12" spans="1:8" ht="30" customHeight="1" hidden="1">
      <c r="A12" s="556" t="s">
        <v>37</v>
      </c>
      <c r="B12" s="557" t="s">
        <v>55</v>
      </c>
      <c r="C12" s="558">
        <v>16168341</v>
      </c>
      <c r="D12" s="558">
        <v>5947456</v>
      </c>
      <c r="E12" s="558">
        <v>83264</v>
      </c>
      <c r="F12" s="554">
        <f t="shared" si="0"/>
        <v>95.6</v>
      </c>
      <c r="G12" s="554">
        <f t="shared" si="0"/>
        <v>97.9</v>
      </c>
      <c r="H12" s="559">
        <f t="shared" si="0"/>
        <v>97.9</v>
      </c>
    </row>
    <row r="13" spans="1:8" ht="30" customHeight="1" hidden="1">
      <c r="A13" s="563"/>
      <c r="B13" s="564" t="s">
        <v>3</v>
      </c>
      <c r="C13" s="565">
        <f>C11+C12</f>
        <v>22210316</v>
      </c>
      <c r="D13" s="565">
        <f>D11+D12</f>
        <v>8119078</v>
      </c>
      <c r="E13" s="565">
        <f>E11+E12</f>
        <v>113666</v>
      </c>
      <c r="F13" s="566">
        <f t="shared" si="0"/>
        <v>96.3</v>
      </c>
      <c r="G13" s="566">
        <f t="shared" si="0"/>
        <v>97.2</v>
      </c>
      <c r="H13" s="567">
        <f t="shared" si="0"/>
        <v>97.2</v>
      </c>
    </row>
    <row r="14" spans="1:8" ht="30" customHeight="1" hidden="1">
      <c r="A14" s="568"/>
      <c r="B14" s="557" t="s">
        <v>339</v>
      </c>
      <c r="C14" s="558">
        <v>5017162</v>
      </c>
      <c r="D14" s="558">
        <v>1998279</v>
      </c>
      <c r="E14" s="558">
        <v>27975</v>
      </c>
      <c r="F14" s="554">
        <f t="shared" si="0"/>
        <v>83</v>
      </c>
      <c r="G14" s="554">
        <f t="shared" si="0"/>
        <v>92</v>
      </c>
      <c r="H14" s="559">
        <f t="shared" si="0"/>
        <v>92</v>
      </c>
    </row>
    <row r="15" spans="1:8" ht="30" customHeight="1" hidden="1">
      <c r="A15" s="556" t="s">
        <v>38</v>
      </c>
      <c r="B15" s="557" t="s">
        <v>55</v>
      </c>
      <c r="C15" s="558">
        <v>15591710</v>
      </c>
      <c r="D15" s="558">
        <v>5846673</v>
      </c>
      <c r="E15" s="558">
        <v>81853</v>
      </c>
      <c r="F15" s="554">
        <f t="shared" si="0"/>
        <v>96.4</v>
      </c>
      <c r="G15" s="554">
        <f t="shared" si="0"/>
        <v>98.3</v>
      </c>
      <c r="H15" s="559">
        <f t="shared" si="0"/>
        <v>98.3</v>
      </c>
    </row>
    <row r="16" spans="1:8" ht="30" customHeight="1" hidden="1">
      <c r="A16" s="563"/>
      <c r="B16" s="564" t="s">
        <v>3</v>
      </c>
      <c r="C16" s="565">
        <f>C14+C15</f>
        <v>20608872</v>
      </c>
      <c r="D16" s="565">
        <f>D14+D15</f>
        <v>7844952</v>
      </c>
      <c r="E16" s="565">
        <f>E14+E15</f>
        <v>109828</v>
      </c>
      <c r="F16" s="566">
        <f t="shared" si="0"/>
        <v>92.8</v>
      </c>
      <c r="G16" s="566">
        <f t="shared" si="0"/>
        <v>96.6</v>
      </c>
      <c r="H16" s="567">
        <f t="shared" si="0"/>
        <v>96.6</v>
      </c>
    </row>
    <row r="17" spans="1:8" ht="30" customHeight="1" hidden="1">
      <c r="A17" s="568"/>
      <c r="B17" s="557" t="s">
        <v>339</v>
      </c>
      <c r="C17" s="558">
        <v>4934176</v>
      </c>
      <c r="D17" s="558">
        <v>1952187</v>
      </c>
      <c r="E17" s="558">
        <v>27330</v>
      </c>
      <c r="F17" s="554">
        <f t="shared" si="0"/>
        <v>98.3</v>
      </c>
      <c r="G17" s="554">
        <f t="shared" si="0"/>
        <v>97.7</v>
      </c>
      <c r="H17" s="559">
        <f t="shared" si="0"/>
        <v>97.7</v>
      </c>
    </row>
    <row r="18" spans="1:8" ht="30" customHeight="1" hidden="1">
      <c r="A18" s="556" t="s">
        <v>39</v>
      </c>
      <c r="B18" s="557" t="s">
        <v>55</v>
      </c>
      <c r="C18" s="558">
        <v>13048553</v>
      </c>
      <c r="D18" s="558">
        <v>4575072</v>
      </c>
      <c r="E18" s="558">
        <v>64050</v>
      </c>
      <c r="F18" s="554">
        <f t="shared" si="0"/>
        <v>83.7</v>
      </c>
      <c r="G18" s="554">
        <f t="shared" si="0"/>
        <v>78.3</v>
      </c>
      <c r="H18" s="559">
        <f t="shared" si="0"/>
        <v>78.3</v>
      </c>
    </row>
    <row r="19" spans="1:8" ht="30" customHeight="1" hidden="1">
      <c r="A19" s="563"/>
      <c r="B19" s="564" t="s">
        <v>3</v>
      </c>
      <c r="C19" s="565">
        <f>C17+C18</f>
        <v>17982729</v>
      </c>
      <c r="D19" s="565">
        <f>D17+D18</f>
        <v>6527259</v>
      </c>
      <c r="E19" s="565">
        <f>E17+E18</f>
        <v>91380</v>
      </c>
      <c r="F19" s="566">
        <f t="shared" si="0"/>
        <v>87.3</v>
      </c>
      <c r="G19" s="566">
        <f t="shared" si="0"/>
        <v>83.2</v>
      </c>
      <c r="H19" s="567">
        <f t="shared" si="0"/>
        <v>83.2</v>
      </c>
    </row>
    <row r="20" spans="1:8" ht="30" customHeight="1" hidden="1">
      <c r="A20" s="568"/>
      <c r="B20" s="557" t="s">
        <v>339</v>
      </c>
      <c r="C20" s="558">
        <v>4952732</v>
      </c>
      <c r="D20" s="558">
        <v>1938296</v>
      </c>
      <c r="E20" s="558">
        <v>27135</v>
      </c>
      <c r="F20" s="554">
        <f t="shared" si="0"/>
        <v>100.4</v>
      </c>
      <c r="G20" s="554">
        <f t="shared" si="0"/>
        <v>99.3</v>
      </c>
      <c r="H20" s="559">
        <f t="shared" si="0"/>
        <v>99.3</v>
      </c>
    </row>
    <row r="21" spans="1:8" ht="30" customHeight="1" hidden="1">
      <c r="A21" s="556" t="s">
        <v>40</v>
      </c>
      <c r="B21" s="557" t="s">
        <v>55</v>
      </c>
      <c r="C21" s="558">
        <v>12986022</v>
      </c>
      <c r="D21" s="558">
        <v>4566916</v>
      </c>
      <c r="E21" s="558">
        <v>63937</v>
      </c>
      <c r="F21" s="554">
        <f t="shared" si="0"/>
        <v>99.5</v>
      </c>
      <c r="G21" s="554">
        <f t="shared" si="0"/>
        <v>99.8</v>
      </c>
      <c r="H21" s="559">
        <f t="shared" si="0"/>
        <v>99.8</v>
      </c>
    </row>
    <row r="22" spans="1:8" ht="30" customHeight="1" hidden="1">
      <c r="A22" s="563"/>
      <c r="B22" s="564" t="s">
        <v>3</v>
      </c>
      <c r="C22" s="565">
        <f>C20+C21</f>
        <v>17938754</v>
      </c>
      <c r="D22" s="565">
        <f>D20+D21</f>
        <v>6505212</v>
      </c>
      <c r="E22" s="565">
        <f>E20+E21</f>
        <v>91072</v>
      </c>
      <c r="F22" s="566">
        <f t="shared" si="0"/>
        <v>99.8</v>
      </c>
      <c r="G22" s="566">
        <f t="shared" si="0"/>
        <v>99.7</v>
      </c>
      <c r="H22" s="567">
        <f t="shared" si="0"/>
        <v>99.7</v>
      </c>
    </row>
    <row r="23" spans="1:8" ht="30" customHeight="1" hidden="1">
      <c r="A23" s="568"/>
      <c r="B23" s="557" t="s">
        <v>339</v>
      </c>
      <c r="C23" s="558">
        <v>4452688</v>
      </c>
      <c r="D23" s="558">
        <v>1795915</v>
      </c>
      <c r="E23" s="558">
        <v>25142</v>
      </c>
      <c r="F23" s="554">
        <f t="shared" si="0"/>
        <v>89.9</v>
      </c>
      <c r="G23" s="554">
        <f t="shared" si="0"/>
        <v>92.7</v>
      </c>
      <c r="H23" s="559">
        <f t="shared" si="0"/>
        <v>92.7</v>
      </c>
    </row>
    <row r="24" spans="1:8" ht="30" customHeight="1" hidden="1">
      <c r="A24" s="556" t="s">
        <v>41</v>
      </c>
      <c r="B24" s="557" t="s">
        <v>55</v>
      </c>
      <c r="C24" s="558">
        <v>12413901</v>
      </c>
      <c r="D24" s="558">
        <v>4305060</v>
      </c>
      <c r="E24" s="558">
        <v>60271</v>
      </c>
      <c r="F24" s="554">
        <f aca="true" t="shared" si="1" ref="F24:H39">ROUND((C24/C21)*100,1)</f>
        <v>95.6</v>
      </c>
      <c r="G24" s="554">
        <f t="shared" si="1"/>
        <v>94.3</v>
      </c>
      <c r="H24" s="559">
        <f t="shared" si="1"/>
        <v>94.3</v>
      </c>
    </row>
    <row r="25" spans="1:8" ht="30" customHeight="1" hidden="1">
      <c r="A25" s="563"/>
      <c r="B25" s="564" t="s">
        <v>3</v>
      </c>
      <c r="C25" s="565">
        <f>C23+C24</f>
        <v>16866589</v>
      </c>
      <c r="D25" s="565">
        <f>D23+D24</f>
        <v>6100975</v>
      </c>
      <c r="E25" s="565">
        <f>E23+E24</f>
        <v>85413</v>
      </c>
      <c r="F25" s="566">
        <f t="shared" si="1"/>
        <v>94</v>
      </c>
      <c r="G25" s="566">
        <f t="shared" si="1"/>
        <v>93.8</v>
      </c>
      <c r="H25" s="567">
        <f t="shared" si="1"/>
        <v>93.8</v>
      </c>
    </row>
    <row r="26" spans="1:8" ht="30" customHeight="1" hidden="1">
      <c r="A26" s="568"/>
      <c r="B26" s="557" t="s">
        <v>339</v>
      </c>
      <c r="C26" s="552">
        <v>3803889</v>
      </c>
      <c r="D26" s="552">
        <v>1158944</v>
      </c>
      <c r="E26" s="552">
        <v>16225</v>
      </c>
      <c r="F26" s="554">
        <f t="shared" si="1"/>
        <v>85.4</v>
      </c>
      <c r="G26" s="554">
        <f t="shared" si="1"/>
        <v>64.5</v>
      </c>
      <c r="H26" s="559">
        <f t="shared" si="1"/>
        <v>64.5</v>
      </c>
    </row>
    <row r="27" spans="1:8" ht="30" customHeight="1" hidden="1">
      <c r="A27" s="556" t="s">
        <v>42</v>
      </c>
      <c r="B27" s="557" t="s">
        <v>55</v>
      </c>
      <c r="C27" s="558">
        <v>12141389</v>
      </c>
      <c r="D27" s="558">
        <v>4251888</v>
      </c>
      <c r="E27" s="558">
        <v>59526</v>
      </c>
      <c r="F27" s="554">
        <f t="shared" si="1"/>
        <v>97.8</v>
      </c>
      <c r="G27" s="554">
        <f t="shared" si="1"/>
        <v>98.8</v>
      </c>
      <c r="H27" s="559">
        <f t="shared" si="1"/>
        <v>98.8</v>
      </c>
    </row>
    <row r="28" spans="1:8" ht="30" customHeight="1" hidden="1">
      <c r="A28" s="563"/>
      <c r="B28" s="564" t="s">
        <v>3</v>
      </c>
      <c r="C28" s="565">
        <f>C26+C27</f>
        <v>15945278</v>
      </c>
      <c r="D28" s="565">
        <f>D26+D27</f>
        <v>5410832</v>
      </c>
      <c r="E28" s="565">
        <f>E26+E27</f>
        <v>75751</v>
      </c>
      <c r="F28" s="566">
        <f t="shared" si="1"/>
        <v>94.5</v>
      </c>
      <c r="G28" s="566">
        <f t="shared" si="1"/>
        <v>88.7</v>
      </c>
      <c r="H28" s="567">
        <f t="shared" si="1"/>
        <v>88.7</v>
      </c>
    </row>
    <row r="29" spans="1:8" ht="30" customHeight="1" hidden="1">
      <c r="A29" s="562"/>
      <c r="B29" s="551" t="s">
        <v>339</v>
      </c>
      <c r="C29" s="558">
        <v>2872290</v>
      </c>
      <c r="D29" s="558">
        <v>839154</v>
      </c>
      <c r="E29" s="558">
        <v>11748</v>
      </c>
      <c r="F29" s="553">
        <f t="shared" si="1"/>
        <v>75.5</v>
      </c>
      <c r="G29" s="553">
        <f t="shared" si="1"/>
        <v>72.4</v>
      </c>
      <c r="H29" s="555">
        <f t="shared" si="1"/>
        <v>72.4</v>
      </c>
    </row>
    <row r="30" spans="1:8" ht="30" customHeight="1" hidden="1">
      <c r="A30" s="556" t="s">
        <v>162</v>
      </c>
      <c r="B30" s="557" t="s">
        <v>55</v>
      </c>
      <c r="C30" s="558">
        <v>11690672</v>
      </c>
      <c r="D30" s="558">
        <v>4088325</v>
      </c>
      <c r="E30" s="558">
        <v>57236</v>
      </c>
      <c r="F30" s="554">
        <f t="shared" si="1"/>
        <v>96.3</v>
      </c>
      <c r="G30" s="554">
        <f t="shared" si="1"/>
        <v>96.2</v>
      </c>
      <c r="H30" s="559">
        <f t="shared" si="1"/>
        <v>96.2</v>
      </c>
    </row>
    <row r="31" spans="1:8" ht="30" customHeight="1" hidden="1">
      <c r="A31" s="563"/>
      <c r="B31" s="564" t="s">
        <v>3</v>
      </c>
      <c r="C31" s="565">
        <f>C29+C30</f>
        <v>14562962</v>
      </c>
      <c r="D31" s="565">
        <f>D29+D30</f>
        <v>4927479</v>
      </c>
      <c r="E31" s="565">
        <f>E29+E30</f>
        <v>68984</v>
      </c>
      <c r="F31" s="566">
        <f t="shared" si="1"/>
        <v>91.3</v>
      </c>
      <c r="G31" s="566">
        <f t="shared" si="1"/>
        <v>91.1</v>
      </c>
      <c r="H31" s="567">
        <f t="shared" si="1"/>
        <v>91.1</v>
      </c>
    </row>
    <row r="32" spans="1:8" ht="30" customHeight="1" hidden="1">
      <c r="A32" s="568"/>
      <c r="B32" s="557" t="s">
        <v>339</v>
      </c>
      <c r="C32" s="552">
        <v>2742720</v>
      </c>
      <c r="D32" s="552">
        <v>766574</v>
      </c>
      <c r="E32" s="552">
        <v>10731</v>
      </c>
      <c r="F32" s="554">
        <f t="shared" si="1"/>
        <v>95.5</v>
      </c>
      <c r="G32" s="554">
        <f t="shared" si="1"/>
        <v>91.4</v>
      </c>
      <c r="H32" s="559">
        <f t="shared" si="1"/>
        <v>91.3</v>
      </c>
    </row>
    <row r="33" spans="1:8" ht="30" customHeight="1" hidden="1">
      <c r="A33" s="556" t="s">
        <v>89</v>
      </c>
      <c r="B33" s="557" t="s">
        <v>55</v>
      </c>
      <c r="C33" s="558">
        <v>11132299</v>
      </c>
      <c r="D33" s="558">
        <v>3891016</v>
      </c>
      <c r="E33" s="558">
        <v>54474</v>
      </c>
      <c r="F33" s="554">
        <f t="shared" si="1"/>
        <v>95.2</v>
      </c>
      <c r="G33" s="554">
        <f t="shared" si="1"/>
        <v>95.2</v>
      </c>
      <c r="H33" s="559">
        <f t="shared" si="1"/>
        <v>95.2</v>
      </c>
    </row>
    <row r="34" spans="1:8" ht="30" customHeight="1" hidden="1">
      <c r="A34" s="563"/>
      <c r="B34" s="564" t="s">
        <v>3</v>
      </c>
      <c r="C34" s="565">
        <f>C32+C33</f>
        <v>13875019</v>
      </c>
      <c r="D34" s="565">
        <f>D32+D33</f>
        <v>4657590</v>
      </c>
      <c r="E34" s="565">
        <f>E32+E33</f>
        <v>65205</v>
      </c>
      <c r="F34" s="566">
        <f t="shared" si="1"/>
        <v>95.3</v>
      </c>
      <c r="G34" s="566">
        <f t="shared" si="1"/>
        <v>94.5</v>
      </c>
      <c r="H34" s="567">
        <f t="shared" si="1"/>
        <v>94.5</v>
      </c>
    </row>
    <row r="35" spans="1:8" ht="30" customHeight="1" hidden="1">
      <c r="A35" s="729" t="s">
        <v>132</v>
      </c>
      <c r="B35" s="551" t="s">
        <v>340</v>
      </c>
      <c r="C35" s="552">
        <v>2637904</v>
      </c>
      <c r="D35" s="552">
        <v>735818</v>
      </c>
      <c r="E35" s="552">
        <v>10301</v>
      </c>
      <c r="F35" s="553">
        <f t="shared" si="1"/>
        <v>96.2</v>
      </c>
      <c r="G35" s="553">
        <f t="shared" si="1"/>
        <v>96</v>
      </c>
      <c r="H35" s="569">
        <f t="shared" si="1"/>
        <v>96</v>
      </c>
    </row>
    <row r="36" spans="1:8" ht="30" customHeight="1" hidden="1">
      <c r="A36" s="730" t="s">
        <v>341</v>
      </c>
      <c r="B36" s="557" t="s">
        <v>342</v>
      </c>
      <c r="C36" s="570">
        <v>11003897</v>
      </c>
      <c r="D36" s="570">
        <v>3794654</v>
      </c>
      <c r="E36" s="570">
        <v>53125</v>
      </c>
      <c r="F36" s="554">
        <f t="shared" si="1"/>
        <v>98.8</v>
      </c>
      <c r="G36" s="554">
        <f t="shared" si="1"/>
        <v>97.5</v>
      </c>
      <c r="H36" s="571">
        <f t="shared" si="1"/>
        <v>97.5</v>
      </c>
    </row>
    <row r="37" spans="1:8" ht="30" customHeight="1" hidden="1">
      <c r="A37" s="730" t="s">
        <v>341</v>
      </c>
      <c r="B37" s="551" t="s">
        <v>91</v>
      </c>
      <c r="C37" s="552">
        <f>C35+C36</f>
        <v>13641801</v>
      </c>
      <c r="D37" s="552">
        <f>D35+D36</f>
        <v>4530472</v>
      </c>
      <c r="E37" s="552">
        <f>E35+E36</f>
        <v>63426</v>
      </c>
      <c r="F37" s="553">
        <f t="shared" si="1"/>
        <v>98.3</v>
      </c>
      <c r="G37" s="553">
        <f t="shared" si="1"/>
        <v>97.3</v>
      </c>
      <c r="H37" s="571">
        <f t="shared" si="1"/>
        <v>97.3</v>
      </c>
    </row>
    <row r="38" spans="1:8" ht="30" customHeight="1" hidden="1">
      <c r="A38" s="729" t="s">
        <v>133</v>
      </c>
      <c r="B38" s="551" t="s">
        <v>340</v>
      </c>
      <c r="C38" s="552">
        <v>2346460</v>
      </c>
      <c r="D38" s="552">
        <v>640247</v>
      </c>
      <c r="E38" s="552">
        <v>8963</v>
      </c>
      <c r="F38" s="572">
        <f t="shared" si="1"/>
        <v>89</v>
      </c>
      <c r="G38" s="572">
        <f t="shared" si="1"/>
        <v>87</v>
      </c>
      <c r="H38" s="573">
        <f t="shared" si="1"/>
        <v>87</v>
      </c>
    </row>
    <row r="39" spans="1:8" ht="30" customHeight="1" hidden="1">
      <c r="A39" s="730" t="s">
        <v>341</v>
      </c>
      <c r="B39" s="548" t="s">
        <v>342</v>
      </c>
      <c r="C39" s="570">
        <v>10821088</v>
      </c>
      <c r="D39" s="570">
        <v>3706007</v>
      </c>
      <c r="E39" s="570">
        <v>51884</v>
      </c>
      <c r="F39" s="574">
        <f t="shared" si="1"/>
        <v>98.3</v>
      </c>
      <c r="G39" s="574">
        <f t="shared" si="1"/>
        <v>97.7</v>
      </c>
      <c r="H39" s="575">
        <f t="shared" si="1"/>
        <v>97.7</v>
      </c>
    </row>
    <row r="40" spans="1:8" ht="30" customHeight="1" hidden="1">
      <c r="A40" s="732" t="s">
        <v>341</v>
      </c>
      <c r="B40" s="557" t="s">
        <v>91</v>
      </c>
      <c r="C40" s="558">
        <f>C38+C39</f>
        <v>13167548</v>
      </c>
      <c r="D40" s="558">
        <f>D38+D39</f>
        <v>4346254</v>
      </c>
      <c r="E40" s="558">
        <f>E38+E39</f>
        <v>60847</v>
      </c>
      <c r="F40" s="576">
        <f aca="true" t="shared" si="2" ref="F40:H52">ROUND((C40/C37)*100,1)</f>
        <v>96.5</v>
      </c>
      <c r="G40" s="576">
        <f t="shared" si="2"/>
        <v>95.9</v>
      </c>
      <c r="H40" s="577">
        <f t="shared" si="2"/>
        <v>95.9</v>
      </c>
    </row>
    <row r="41" spans="1:8" ht="30" customHeight="1" hidden="1">
      <c r="A41" s="729" t="s">
        <v>24</v>
      </c>
      <c r="B41" s="551" t="s">
        <v>340</v>
      </c>
      <c r="C41" s="552">
        <v>2181259</v>
      </c>
      <c r="D41" s="552">
        <v>587094</v>
      </c>
      <c r="E41" s="552">
        <v>8219</v>
      </c>
      <c r="F41" s="572">
        <f t="shared" si="2"/>
        <v>93</v>
      </c>
      <c r="G41" s="572">
        <f t="shared" si="2"/>
        <v>91.7</v>
      </c>
      <c r="H41" s="573">
        <f t="shared" si="2"/>
        <v>91.7</v>
      </c>
    </row>
    <row r="42" spans="1:8" ht="30" customHeight="1" hidden="1">
      <c r="A42" s="730" t="s">
        <v>341</v>
      </c>
      <c r="B42" s="548" t="s">
        <v>342</v>
      </c>
      <c r="C42" s="570">
        <v>10374275</v>
      </c>
      <c r="D42" s="570">
        <v>3540741</v>
      </c>
      <c r="E42" s="570">
        <v>49570</v>
      </c>
      <c r="F42" s="574">
        <f t="shared" si="2"/>
        <v>95.9</v>
      </c>
      <c r="G42" s="574">
        <f t="shared" si="2"/>
        <v>95.5</v>
      </c>
      <c r="H42" s="575">
        <f t="shared" si="2"/>
        <v>95.5</v>
      </c>
    </row>
    <row r="43" spans="1:8" ht="30" customHeight="1" hidden="1">
      <c r="A43" s="732" t="s">
        <v>341</v>
      </c>
      <c r="B43" s="557" t="s">
        <v>91</v>
      </c>
      <c r="C43" s="558">
        <f>C41+C42</f>
        <v>12555534</v>
      </c>
      <c r="D43" s="558">
        <f>D41+D42</f>
        <v>4127835</v>
      </c>
      <c r="E43" s="558">
        <f>E41+E42</f>
        <v>57789</v>
      </c>
      <c r="F43" s="576">
        <f t="shared" si="2"/>
        <v>95.4</v>
      </c>
      <c r="G43" s="576">
        <f t="shared" si="2"/>
        <v>95</v>
      </c>
      <c r="H43" s="573">
        <f t="shared" si="2"/>
        <v>95</v>
      </c>
    </row>
    <row r="44" spans="1:8" ht="30" customHeight="1" hidden="1">
      <c r="A44" s="730" t="s">
        <v>25</v>
      </c>
      <c r="B44" s="551" t="s">
        <v>340</v>
      </c>
      <c r="C44" s="552">
        <v>1925750</v>
      </c>
      <c r="D44" s="552">
        <v>523374</v>
      </c>
      <c r="E44" s="552">
        <v>7327</v>
      </c>
      <c r="F44" s="572">
        <f t="shared" si="2"/>
        <v>88.3</v>
      </c>
      <c r="G44" s="572">
        <f t="shared" si="2"/>
        <v>89.1</v>
      </c>
      <c r="H44" s="578">
        <f t="shared" si="2"/>
        <v>89.1</v>
      </c>
    </row>
    <row r="45" spans="1:8" ht="30" customHeight="1" hidden="1">
      <c r="A45" s="730" t="s">
        <v>341</v>
      </c>
      <c r="B45" s="548" t="s">
        <v>342</v>
      </c>
      <c r="C45" s="570">
        <v>10353005</v>
      </c>
      <c r="D45" s="570">
        <v>3524266</v>
      </c>
      <c r="E45" s="570">
        <v>49340</v>
      </c>
      <c r="F45" s="574">
        <f t="shared" si="2"/>
        <v>99.8</v>
      </c>
      <c r="G45" s="574">
        <f t="shared" si="2"/>
        <v>99.5</v>
      </c>
      <c r="H45" s="575">
        <f t="shared" si="2"/>
        <v>99.5</v>
      </c>
    </row>
    <row r="46" spans="1:8" ht="30" customHeight="1" hidden="1">
      <c r="A46" s="730" t="s">
        <v>341</v>
      </c>
      <c r="B46" s="557" t="s">
        <v>91</v>
      </c>
      <c r="C46" s="558">
        <f>C44+C45</f>
        <v>12278755</v>
      </c>
      <c r="D46" s="558">
        <f>D44+D45</f>
        <v>4047640</v>
      </c>
      <c r="E46" s="558">
        <f>E44+E45</f>
        <v>56667</v>
      </c>
      <c r="F46" s="576">
        <f t="shared" si="2"/>
        <v>97.8</v>
      </c>
      <c r="G46" s="576">
        <f t="shared" si="2"/>
        <v>98.1</v>
      </c>
      <c r="H46" s="573">
        <f t="shared" si="2"/>
        <v>98.1</v>
      </c>
    </row>
    <row r="47" spans="1:8" ht="30" customHeight="1">
      <c r="A47" s="729" t="s">
        <v>46</v>
      </c>
      <c r="B47" s="551" t="s">
        <v>340</v>
      </c>
      <c r="C47" s="552">
        <v>1897220</v>
      </c>
      <c r="D47" s="552">
        <v>509997</v>
      </c>
      <c r="E47" s="552">
        <v>7140</v>
      </c>
      <c r="F47" s="572">
        <f t="shared" si="2"/>
        <v>98.5</v>
      </c>
      <c r="G47" s="572">
        <f>ROUND((D47/D44)*100,1)</f>
        <v>97.4</v>
      </c>
      <c r="H47" s="578">
        <f t="shared" si="2"/>
        <v>97.4</v>
      </c>
    </row>
    <row r="48" spans="1:8" ht="30" customHeight="1">
      <c r="A48" s="730" t="s">
        <v>341</v>
      </c>
      <c r="B48" s="548" t="s">
        <v>342</v>
      </c>
      <c r="C48" s="570">
        <v>9773119</v>
      </c>
      <c r="D48" s="570">
        <v>3326502</v>
      </c>
      <c r="E48" s="570">
        <v>46571</v>
      </c>
      <c r="F48" s="574">
        <f t="shared" si="2"/>
        <v>94.4</v>
      </c>
      <c r="G48" s="574">
        <f t="shared" si="2"/>
        <v>94.4</v>
      </c>
      <c r="H48" s="575">
        <f t="shared" si="2"/>
        <v>94.4</v>
      </c>
    </row>
    <row r="49" spans="1:8" ht="30" customHeight="1">
      <c r="A49" s="732" t="s">
        <v>341</v>
      </c>
      <c r="B49" s="548" t="s">
        <v>91</v>
      </c>
      <c r="C49" s="570">
        <f>C47+C48</f>
        <v>11670339</v>
      </c>
      <c r="D49" s="570">
        <f>D47+D48</f>
        <v>3836499</v>
      </c>
      <c r="E49" s="570">
        <f>E47+E48</f>
        <v>53711</v>
      </c>
      <c r="F49" s="574">
        <f>ROUND((C49/C46)*100,1)</f>
        <v>95</v>
      </c>
      <c r="G49" s="574">
        <f t="shared" si="2"/>
        <v>94.8</v>
      </c>
      <c r="H49" s="575">
        <f t="shared" si="2"/>
        <v>94.8</v>
      </c>
    </row>
    <row r="50" spans="1:8" ht="30" customHeight="1">
      <c r="A50" s="730" t="s">
        <v>134</v>
      </c>
      <c r="B50" s="557" t="s">
        <v>340</v>
      </c>
      <c r="C50" s="558">
        <v>1882503</v>
      </c>
      <c r="D50" s="558">
        <v>509331</v>
      </c>
      <c r="E50" s="558">
        <v>7130</v>
      </c>
      <c r="F50" s="576">
        <f>ROUND((C50/C47)*100,1)</f>
        <v>99.2</v>
      </c>
      <c r="G50" s="576">
        <f t="shared" si="2"/>
        <v>99.9</v>
      </c>
      <c r="H50" s="573">
        <f t="shared" si="2"/>
        <v>99.9</v>
      </c>
    </row>
    <row r="51" spans="1:8" ht="30" customHeight="1">
      <c r="A51" s="730" t="s">
        <v>341</v>
      </c>
      <c r="B51" s="548" t="s">
        <v>342</v>
      </c>
      <c r="C51" s="570">
        <v>9520275</v>
      </c>
      <c r="D51" s="570">
        <v>3201361</v>
      </c>
      <c r="E51" s="570">
        <v>44819</v>
      </c>
      <c r="F51" s="574">
        <f>ROUND((C51/C48)*100,1)</f>
        <v>97.4</v>
      </c>
      <c r="G51" s="574">
        <f t="shared" si="2"/>
        <v>96.2</v>
      </c>
      <c r="H51" s="575">
        <f t="shared" si="2"/>
        <v>96.2</v>
      </c>
    </row>
    <row r="52" spans="1:8" ht="30" customHeight="1">
      <c r="A52" s="730" t="s">
        <v>341</v>
      </c>
      <c r="B52" s="557" t="s">
        <v>91</v>
      </c>
      <c r="C52" s="558">
        <f>C50+C51</f>
        <v>11402778</v>
      </c>
      <c r="D52" s="558">
        <f>D50+D51</f>
        <v>3710692</v>
      </c>
      <c r="E52" s="558">
        <f>E50+E51</f>
        <v>51949</v>
      </c>
      <c r="F52" s="576">
        <f>ROUND((C52/C49)*100,1)</f>
        <v>97.7</v>
      </c>
      <c r="G52" s="576">
        <f t="shared" si="2"/>
        <v>96.7</v>
      </c>
      <c r="H52" s="573">
        <f t="shared" si="2"/>
        <v>96.7</v>
      </c>
    </row>
    <row r="53" spans="1:8" ht="30" customHeight="1">
      <c r="A53" s="729" t="s">
        <v>27</v>
      </c>
      <c r="B53" s="551" t="s">
        <v>340</v>
      </c>
      <c r="C53" s="552">
        <v>1807241</v>
      </c>
      <c r="D53" s="552">
        <v>471372</v>
      </c>
      <c r="E53" s="552">
        <v>6599</v>
      </c>
      <c r="F53" s="572">
        <f aca="true" t="shared" si="3" ref="F53:H55">ROUND((C53/C47)*100,1)</f>
        <v>95.3</v>
      </c>
      <c r="G53" s="572">
        <f t="shared" si="3"/>
        <v>92.4</v>
      </c>
      <c r="H53" s="578">
        <f t="shared" si="3"/>
        <v>92.4</v>
      </c>
    </row>
    <row r="54" spans="1:8" ht="30" customHeight="1">
      <c r="A54" s="730" t="s">
        <v>341</v>
      </c>
      <c r="B54" s="548" t="s">
        <v>342</v>
      </c>
      <c r="C54" s="570">
        <v>9359471</v>
      </c>
      <c r="D54" s="570">
        <v>3115047</v>
      </c>
      <c r="E54" s="570">
        <v>43610</v>
      </c>
      <c r="F54" s="574">
        <f t="shared" si="3"/>
        <v>95.8</v>
      </c>
      <c r="G54" s="574">
        <f t="shared" si="3"/>
        <v>93.6</v>
      </c>
      <c r="H54" s="575">
        <f t="shared" si="3"/>
        <v>93.6</v>
      </c>
    </row>
    <row r="55" spans="1:8" ht="30" customHeight="1">
      <c r="A55" s="730" t="s">
        <v>341</v>
      </c>
      <c r="B55" s="557" t="s">
        <v>91</v>
      </c>
      <c r="C55" s="558">
        <f>C53+C54</f>
        <v>11166712</v>
      </c>
      <c r="D55" s="558">
        <f>D53+D54</f>
        <v>3586419</v>
      </c>
      <c r="E55" s="558">
        <f>E53+E54</f>
        <v>50209</v>
      </c>
      <c r="F55" s="576">
        <f t="shared" si="3"/>
        <v>95.7</v>
      </c>
      <c r="G55" s="576">
        <f t="shared" si="3"/>
        <v>93.5</v>
      </c>
      <c r="H55" s="573">
        <f t="shared" si="3"/>
        <v>93.5</v>
      </c>
    </row>
    <row r="56" spans="1:8" ht="30" customHeight="1">
      <c r="A56" s="729" t="s">
        <v>30</v>
      </c>
      <c r="B56" s="551" t="s">
        <v>340</v>
      </c>
      <c r="C56" s="552">
        <v>1946568</v>
      </c>
      <c r="D56" s="552">
        <v>526796</v>
      </c>
      <c r="E56" s="552">
        <v>7375</v>
      </c>
      <c r="F56" s="572">
        <f aca="true" t="shared" si="4" ref="F56:H61">ROUND((C56/C53)*100,1)</f>
        <v>107.7</v>
      </c>
      <c r="G56" s="572">
        <f t="shared" si="4"/>
        <v>111.8</v>
      </c>
      <c r="H56" s="579">
        <f t="shared" si="4"/>
        <v>111.8</v>
      </c>
    </row>
    <row r="57" spans="1:8" ht="30" customHeight="1">
      <c r="A57" s="730" t="s">
        <v>341</v>
      </c>
      <c r="B57" s="548" t="s">
        <v>342</v>
      </c>
      <c r="C57" s="570">
        <v>9216113</v>
      </c>
      <c r="D57" s="570">
        <v>3026694</v>
      </c>
      <c r="E57" s="570">
        <v>42374</v>
      </c>
      <c r="F57" s="574">
        <f t="shared" si="4"/>
        <v>98.5</v>
      </c>
      <c r="G57" s="574">
        <f t="shared" si="4"/>
        <v>97.2</v>
      </c>
      <c r="H57" s="580">
        <f t="shared" si="4"/>
        <v>97.2</v>
      </c>
    </row>
    <row r="58" spans="1:8" ht="30" customHeight="1">
      <c r="A58" s="730" t="s">
        <v>341</v>
      </c>
      <c r="B58" s="557" t="s">
        <v>91</v>
      </c>
      <c r="C58" s="558">
        <f>C56+C57</f>
        <v>11162681</v>
      </c>
      <c r="D58" s="558">
        <f>D56+D57</f>
        <v>3553490</v>
      </c>
      <c r="E58" s="558">
        <f>E56+E57</f>
        <v>49749</v>
      </c>
      <c r="F58" s="576">
        <f t="shared" si="4"/>
        <v>100</v>
      </c>
      <c r="G58" s="576">
        <f t="shared" si="4"/>
        <v>99.1</v>
      </c>
      <c r="H58" s="573">
        <f t="shared" si="4"/>
        <v>99.1</v>
      </c>
    </row>
    <row r="59" spans="1:8" ht="30" customHeight="1">
      <c r="A59" s="729" t="s">
        <v>35</v>
      </c>
      <c r="B59" s="551" t="s">
        <v>340</v>
      </c>
      <c r="C59" s="552">
        <v>1886756</v>
      </c>
      <c r="D59" s="552">
        <v>504010</v>
      </c>
      <c r="E59" s="552">
        <v>7056</v>
      </c>
      <c r="F59" s="572">
        <f t="shared" si="4"/>
        <v>96.9</v>
      </c>
      <c r="G59" s="572">
        <f t="shared" si="4"/>
        <v>95.7</v>
      </c>
      <c r="H59" s="579">
        <f t="shared" si="4"/>
        <v>95.7</v>
      </c>
    </row>
    <row r="60" spans="1:8" ht="30" customHeight="1">
      <c r="A60" s="730" t="s">
        <v>341</v>
      </c>
      <c r="B60" s="548" t="s">
        <v>342</v>
      </c>
      <c r="C60" s="570">
        <v>9205650</v>
      </c>
      <c r="D60" s="570">
        <v>2945467</v>
      </c>
      <c r="E60" s="570">
        <v>41236</v>
      </c>
      <c r="F60" s="574">
        <f t="shared" si="4"/>
        <v>99.9</v>
      </c>
      <c r="G60" s="574">
        <f t="shared" si="4"/>
        <v>97.3</v>
      </c>
      <c r="H60" s="580">
        <f t="shared" si="4"/>
        <v>97.3</v>
      </c>
    </row>
    <row r="61" spans="1:8" ht="30" customHeight="1" thickBot="1">
      <c r="A61" s="731" t="s">
        <v>341</v>
      </c>
      <c r="B61" s="581" t="s">
        <v>91</v>
      </c>
      <c r="C61" s="582">
        <f>C59+C60</f>
        <v>11092406</v>
      </c>
      <c r="D61" s="582">
        <f>D59+D60</f>
        <v>3449477</v>
      </c>
      <c r="E61" s="582">
        <f>E59+E60</f>
        <v>48292</v>
      </c>
      <c r="F61" s="583">
        <f t="shared" si="4"/>
        <v>99.4</v>
      </c>
      <c r="G61" s="583">
        <f t="shared" si="4"/>
        <v>97.1</v>
      </c>
      <c r="H61" s="584">
        <f t="shared" si="4"/>
        <v>97.1</v>
      </c>
    </row>
  </sheetData>
  <sheetProtection/>
  <mergeCells count="15">
    <mergeCell ref="A3:A4"/>
    <mergeCell ref="B3:B4"/>
    <mergeCell ref="C3:C4"/>
    <mergeCell ref="D3:D4"/>
    <mergeCell ref="E3:E4"/>
    <mergeCell ref="F3:H3"/>
    <mergeCell ref="A53:A55"/>
    <mergeCell ref="A56:A58"/>
    <mergeCell ref="A59:A61"/>
    <mergeCell ref="A35:A37"/>
    <mergeCell ref="A38:A40"/>
    <mergeCell ref="A41:A43"/>
    <mergeCell ref="A44:A46"/>
    <mergeCell ref="A47:A49"/>
    <mergeCell ref="A50:A52"/>
  </mergeCells>
  <printOptions horizontalCentered="1"/>
  <pageMargins left="0.5905511811023623" right="0.5905511811023623" top="0.3937007874015748" bottom="0.1968503937007874" header="0.5905511811023623" footer="0.1968503937007874"/>
  <pageSetup horizontalDpi="300" verticalDpi="3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固定　納税義務者数</dc:title>
  <dc:subject/>
  <dc:creator>gifu</dc:creator>
  <cp:keywords/>
  <dc:description/>
  <cp:lastModifiedBy>小森 雄太</cp:lastModifiedBy>
  <cp:lastPrinted>2022-10-26T07:42:27Z</cp:lastPrinted>
  <dcterms:created xsi:type="dcterms:W3CDTF">2002-12-09T07:42:37Z</dcterms:created>
  <dcterms:modified xsi:type="dcterms:W3CDTF">2022-10-26T07:43:06Z</dcterms:modified>
  <cp:category/>
  <cp:version/>
  <cp:contentType/>
  <cp:contentStatus/>
</cp:coreProperties>
</file>