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30" windowWidth="15300" windowHeight="4125" activeTab="0"/>
  </bookViews>
  <sheets>
    <sheet name="3-2-1 納税義務者調" sheetId="1" r:id="rId1"/>
    <sheet name="3-2-2 調定額調" sheetId="2" r:id="rId2"/>
    <sheet name="3-2-3 土地の概要累年比較" sheetId="3" r:id="rId3"/>
    <sheet name="3-2-4 家屋の概要累年比較" sheetId="4" r:id="rId4"/>
    <sheet name="3-2-5 償却資産の概要累年比較" sheetId="5" r:id="rId5"/>
    <sheet name="3-2-6 軽減税額の累年比較" sheetId="6" r:id="rId6"/>
    <sheet name="3-2-7(1) 課税標準の特例累年比較" sheetId="7" r:id="rId7"/>
    <sheet name="3-2-7(2) 課税標準の特例累年比較その２" sheetId="8" r:id="rId8"/>
    <sheet name="3-2-8 国有財産等所在市交付金累年比較" sheetId="9" r:id="rId9"/>
    <sheet name="3-2-9 都市計画税の概要累年比較" sheetId="10" r:id="rId10"/>
  </sheets>
  <definedNames>
    <definedName name="_xlnm.Print_Area" localSheetId="1">'3-2-2 調定額調'!$A$1:$T$23</definedName>
    <definedName name="_xlnm.Print_Area" localSheetId="2">'3-2-3 土地の概要累年比較'!$A$1:$N$80</definedName>
    <definedName name="_xlnm.Print_Area" localSheetId="3">'3-2-4 家屋の概要累年比較'!$A$1:$O$88</definedName>
    <definedName name="_xlnm.Print_Area" localSheetId="5">'3-2-6 軽減税額の累年比較'!$A$1:$T$52</definedName>
    <definedName name="_xlnm.Print_Area" localSheetId="6">'3-2-7(1) 課税標準の特例累年比較'!$A$1:$AL$39</definedName>
    <definedName name="_xlnm.Print_Area" localSheetId="7">'3-2-7(2) 課税標準の特例累年比較その２'!$A$1:$AL$75</definedName>
    <definedName name="_xlnm.Print_Area" localSheetId="8">'3-2-8 国有財産等所在市交付金累年比較'!$A$1:$H$58</definedName>
    <definedName name="_xlnm.Print_Area" localSheetId="9">'3-2-9 都市計画税の概要累年比較'!$A$1:$H$72</definedName>
    <definedName name="Z_020B5ECE_0A29_4CEA_9438_E5A3DD333F2C_.wvu.PrintArea" localSheetId="3" hidden="1">'3-2-4 家屋の概要累年比較'!$A$1:$O$89</definedName>
    <definedName name="Z_020B5ECE_0A29_4CEA_9438_E5A3DD333F2C_.wvu.Rows" localSheetId="3" hidden="1">'3-2-4 家屋の概要累年比較'!$7:$18</definedName>
    <definedName name="Z_275A34DE_F3A2_4370_8519_285E674524C5_.wvu.PrintArea" localSheetId="2" hidden="1">'3-2-3 土地の概要累年比較'!$A$1:$N$47</definedName>
    <definedName name="Z_4195D552_F5C2_40FE_9B1D_346E7346B023_.wvu.Cols" localSheetId="5" hidden="1">'3-2-6 軽減税額の累年比較'!#REF!</definedName>
    <definedName name="Z_511E53AE_CF75_424B_8243_C4DE9A73E7C0_.wvu.PrintArea" localSheetId="9" hidden="1">'3-2-9 都市計画税の概要累年比較'!$A$1:$G$72</definedName>
    <definedName name="Z_511E53AE_CF75_424B_8243_C4DE9A73E7C0_.wvu.Rows" localSheetId="9" hidden="1">'3-2-9 都市計画税の概要累年比較'!#REF!,'3-2-9 都市計画税の概要累年比較'!#REF!,'3-2-9 都市計画税の概要累年比較'!#REF!</definedName>
    <definedName name="Z_52DAF842_334B_4451_B574_74F8F1F40199_.wvu.PrintArea" localSheetId="9" hidden="1">'3-2-9 都市計画税の概要累年比較'!$A$1:$G$58</definedName>
    <definedName name="Z_52DAF842_334B_4451_B574_74F8F1F40199_.wvu.Rows" localSheetId="9" hidden="1">'3-2-9 都市計画税の概要累年比較'!#REF!,'3-2-9 都市計画税の概要累年比較'!#REF!,'3-2-9 都市計画税の概要累年比較'!#REF!</definedName>
    <definedName name="Z_5B9FC44B_0D34_45F9_9E94_9F9CFAB77010_.wvu.Rows" localSheetId="8" hidden="1">'3-2-8 国有財産等所在市交付金累年比較'!#REF!</definedName>
    <definedName name="Z_79BC4CFC_28C6_4675_BA8D_B6B5F356FCC3_.wvu.Cols" localSheetId="1" hidden="1">'3-2-2 調定額調'!#REF!</definedName>
    <definedName name="Z_83F46E2E_4654_41BF_BA28_2FADEB6D6197_.wvu.Rows" localSheetId="4" hidden="1">'3-2-5 償却資産の概要累年比較'!$5:$20</definedName>
    <definedName name="Z_A54D2194_4D22_4686_9768_745BFE71CD3B_.wvu.Cols" localSheetId="7" hidden="1">'3-2-7(2) 課税標準の特例累年比較その２'!#REF!</definedName>
    <definedName name="Z_A54D2194_4D22_4686_9768_745BFE71CD3B_.wvu.PrintArea" localSheetId="7" hidden="1">'3-2-7(2) 課税標準の特例累年比較その２'!$A$2:$L$61</definedName>
    <definedName name="Z_A73C1E25_896D_4B61_AD61_140BB615508F_.wvu.Rows" localSheetId="4" hidden="1">'3-2-5 償却資産の概要累年比較'!$5:$20</definedName>
    <definedName name="Z_AF711E79_9D7B_4383_8588_A0BE26418181_.wvu.Cols" localSheetId="0" hidden="1">'3-2-1 納税義務者調'!#REF!</definedName>
    <definedName name="Z_BB5629D8_201F_4062_983C_9501032A4E65_.wvu.Cols" localSheetId="5" hidden="1">'3-2-6 軽減税額の累年比較'!#REF!</definedName>
    <definedName name="Z_C0C3DDC2_9DB6_4248_88B4_83119CCB010B_.wvu.PrintArea" localSheetId="3" hidden="1">'3-2-4 家屋の概要累年比較'!$A$1:$O$88</definedName>
    <definedName name="Z_C0C3DDC2_9DB6_4248_88B4_83119CCB010B_.wvu.Rows" localSheetId="3" hidden="1">'3-2-4 家屋の概要累年比較'!$7:$18</definedName>
    <definedName name="Z_C7478B11_5C87_4166_AFBA_6DD9E5ED1FF6_.wvu.PrintArea" localSheetId="9" hidden="1">'3-2-9 都市計画税の概要累年比較'!$A$1:$G$72</definedName>
    <definedName name="Z_C7478B11_5C87_4166_AFBA_6DD9E5ED1FF6_.wvu.Rows" localSheetId="9" hidden="1">'3-2-9 都市計画税の概要累年比較'!#REF!</definedName>
    <definedName name="Z_CD8F0BE0_64CC_4995_820C_F2F915FDC1CF_.wvu.Rows" localSheetId="8" hidden="1">'3-2-8 国有財産等所在市交付金累年比較'!#REF!</definedName>
    <definedName name="Z_CDCD9FEE_93AA_499D_87A9_9E6114C7131A_.wvu.PrintArea" localSheetId="7" hidden="1">'3-2-7(2) 課税標準の特例累年比較その２'!$A$2:$L$61</definedName>
    <definedName name="Z_D5062F68_F9D9_4F16_96E8_D92F3BAE9E40_.wvu.PrintArea" localSheetId="3" hidden="1">'3-2-4 家屋の概要累年比較'!$A$1:$O$88</definedName>
    <definedName name="Z_D9727D69_F342_458D_BE61_6DF6500BE292_.wvu.Cols" localSheetId="1" hidden="1">'3-2-2 調定額調'!#REF!</definedName>
    <definedName name="Z_F4B09AF6_2BF7_4B51_AB9F_67308B46B145_.wvu.Cols" localSheetId="7" hidden="1">'3-2-7(2) 課税標準の特例累年比較その２'!#REF!</definedName>
    <definedName name="Z_F4B09AF6_2BF7_4B51_AB9F_67308B46B145_.wvu.PrintArea" localSheetId="7" hidden="1">'3-2-7(2) 課税標準の特例累年比較その２'!$A$2:$AE$61</definedName>
    <definedName name="Z_F4B09AF6_2BF7_4B51_AB9F_67308B46B145_.wvu.Rows" localSheetId="7" hidden="1">'3-2-7(2) 課税標準の特例累年比較その２'!#REF!,'3-2-7(2) 課税標準の特例累年比較その２'!#REF!,'3-2-7(2) 課税標準の特例累年比較その２'!#REF!</definedName>
    <definedName name="Z_F9C741D3_857A_48CE_BAE4_522350C14D22_.wvu.PrintArea" localSheetId="2" hidden="1">'3-2-3 土地の概要累年比較'!$A$1:$N$47</definedName>
    <definedName name="Z_F9C741D3_857A_48CE_BAE4_522350C14D22_.wvu.Rows" localSheetId="2" hidden="1">'3-2-3 土地の概要累年比較'!$6:$17</definedName>
    <definedName name="Z_FB6125FC_FC8F_4F10_8946_A43C486BA62D_.wvu.PrintArea" localSheetId="2" hidden="1">'3-2-3 土地の概要累年比較'!$A$1:$N$47</definedName>
    <definedName name="Z_FB6125FC_FC8F_4F10_8946_A43C486BA62D_.wvu.Rows" localSheetId="2" hidden="1">'3-2-3 土地の概要累年比較'!$6:$17</definedName>
    <definedName name="Z_FDC79450_789F_4824_8FFF_7E8BF65651E2_.wvu.Cols" localSheetId="0" hidden="1">'3-2-1 納税義務者調'!#REF!</definedName>
  </definedNames>
  <calcPr fullCalcOnLoad="1"/>
</workbook>
</file>

<file path=xl/comments3.xml><?xml version="1.0" encoding="utf-8"?>
<comments xmlns="http://schemas.openxmlformats.org/spreadsheetml/2006/main">
  <authors>
    <author>Windows ユーザー</author>
  </authors>
  <commentList>
    <comment ref="N68" authorId="0">
      <text>
        <r>
          <rPr>
            <b/>
            <sz val="9"/>
            <rFont val="MS P ゴシック"/>
            <family val="3"/>
          </rPr>
          <t>Windows ユーザー:</t>
        </r>
        <r>
          <rPr>
            <sz val="9"/>
            <rFont val="MS P ゴシック"/>
            <family val="3"/>
          </rPr>
          <t xml:space="preserve">
昨年度の数字と不一致</t>
        </r>
      </text>
    </comment>
    <comment ref="N71" authorId="0">
      <text>
        <r>
          <rPr>
            <b/>
            <sz val="9"/>
            <rFont val="MS P ゴシック"/>
            <family val="3"/>
          </rPr>
          <t>Windows ユーザー:</t>
        </r>
        <r>
          <rPr>
            <sz val="9"/>
            <rFont val="MS P ゴシック"/>
            <family val="3"/>
          </rPr>
          <t xml:space="preserve">
昨年度の数字と不一致</t>
        </r>
      </text>
    </comment>
  </commentList>
</comments>
</file>

<file path=xl/sharedStrings.xml><?xml version="1.0" encoding="utf-8"?>
<sst xmlns="http://schemas.openxmlformats.org/spreadsheetml/2006/main" count="1624" uniqueCount="365">
  <si>
    <t>土地のみ</t>
  </si>
  <si>
    <t>家屋のみ</t>
  </si>
  <si>
    <t>土地・家屋・償却</t>
  </si>
  <si>
    <t>計</t>
  </si>
  <si>
    <t>前年比</t>
  </si>
  <si>
    <t>［参考］資産別納税義務者の調（概要調書）</t>
  </si>
  <si>
    <t>固定資産税</t>
  </si>
  <si>
    <t>土地</t>
  </si>
  <si>
    <t>家屋</t>
  </si>
  <si>
    <t>償却資産</t>
  </si>
  <si>
    <t>都市計画税</t>
  </si>
  <si>
    <t>土地・家屋</t>
  </si>
  <si>
    <t>固定資産税</t>
  </si>
  <si>
    <r>
      <t>区</t>
    </r>
    <r>
      <rPr>
        <sz val="11"/>
        <rFont val="ＭＳ Ｐゴシック"/>
        <family val="3"/>
      </rPr>
      <t>分</t>
    </r>
  </si>
  <si>
    <t>区分</t>
  </si>
  <si>
    <t>償却資産のみ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</si>
  <si>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</si>
  <si>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r>
      <t>平成17年度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</si>
  <si>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</si>
  <si>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</si>
  <si>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</si>
  <si>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</si>
  <si>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</t>
    </r>
  </si>
  <si>
    <r>
      <t>平成24年度</t>
    </r>
  </si>
  <si>
    <t>（単位：人・％）</t>
  </si>
  <si>
    <t>（単位:人）</t>
  </si>
  <si>
    <t>平成25年度</t>
  </si>
  <si>
    <r>
      <t>平成26</t>
    </r>
    <r>
      <rPr>
        <sz val="11"/>
        <rFont val="ＭＳ Ｐゴシック"/>
        <family val="3"/>
      </rPr>
      <t>年度</t>
    </r>
  </si>
  <si>
    <t>平成27年度</t>
  </si>
  <si>
    <t>平成26年度</t>
  </si>
  <si>
    <t>平成28年度</t>
  </si>
  <si>
    <t>平成27年度</t>
  </si>
  <si>
    <t>平成28年度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</si>
  <si>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</si>
  <si>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</si>
  <si>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平成29年度</t>
  </si>
  <si>
    <r>
      <t>平成30</t>
    </r>
    <r>
      <rPr>
        <sz val="11"/>
        <rFont val="ＭＳ Ｐゴシック"/>
        <family val="3"/>
      </rPr>
      <t>年度</t>
    </r>
  </si>
  <si>
    <r>
      <t>平成3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</si>
  <si>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t>令和2年度</t>
  </si>
  <si>
    <t>令和2年度</t>
  </si>
  <si>
    <t>令和元年度</t>
  </si>
  <si>
    <t>令和元年度</t>
  </si>
  <si>
    <t>令和3年度</t>
  </si>
  <si>
    <t>令和3年度</t>
  </si>
  <si>
    <t>　１　固定資産税・都市計画税納税義務者の調（当初）</t>
  </si>
  <si>
    <t>２　固定資産税・都市計画税調定額の調（当初）</t>
  </si>
  <si>
    <t>(1)固定資産税</t>
  </si>
  <si>
    <t>（単位:千円・％）</t>
  </si>
  <si>
    <t>平成30年度</t>
  </si>
  <si>
    <t>土地</t>
  </si>
  <si>
    <t>家屋</t>
  </si>
  <si>
    <t>償却資産</t>
  </si>
  <si>
    <t>交付金</t>
  </si>
  <si>
    <t>国有資産分</t>
  </si>
  <si>
    <t>県有資産分</t>
  </si>
  <si>
    <t>合計</t>
  </si>
  <si>
    <t>(２)都市計画税</t>
  </si>
  <si>
    <t>３　土地の概要(地積・課税標準額等)累年比較(当初)</t>
  </si>
  <si>
    <t>(単位:平方メートル・％)</t>
  </si>
  <si>
    <t>年度</t>
  </si>
  <si>
    <t>地目</t>
  </si>
  <si>
    <t>地積(平方メートル)</t>
  </si>
  <si>
    <t>決定価格(千円)</t>
  </si>
  <si>
    <t>課税標準額</t>
  </si>
  <si>
    <t>筆数</t>
  </si>
  <si>
    <t>1平方メートル当り</t>
  </si>
  <si>
    <t>前年比</t>
  </si>
  <si>
    <t>評価総地積</t>
  </si>
  <si>
    <t>免税点以上</t>
  </si>
  <si>
    <t>総額</t>
  </si>
  <si>
    <t>評価総筆数</t>
  </si>
  <si>
    <t>平均価格（円）</t>
  </si>
  <si>
    <t>地積の</t>
  </si>
  <si>
    <t>価格の</t>
  </si>
  <si>
    <t>課税標準額</t>
  </si>
  <si>
    <t>筆数の</t>
  </si>
  <si>
    <t>（千円）</t>
  </si>
  <si>
    <t>免税点以上</t>
  </si>
  <si>
    <t>平成11年度</t>
  </si>
  <si>
    <t>宅地</t>
  </si>
  <si>
    <t>その他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</si>
  <si>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</si>
  <si>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</si>
  <si>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</si>
  <si>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</si>
  <si>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</si>
  <si>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</si>
  <si>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</si>
  <si>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</si>
  <si>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</si>
  <si>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</si>
  <si>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</si>
  <si>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</si>
  <si>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</si>
  <si>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宅地</t>
  </si>
  <si>
    <t>平成25年度</t>
  </si>
  <si>
    <t>その他</t>
  </si>
  <si>
    <t>計</t>
  </si>
  <si>
    <t>平成26年度</t>
  </si>
  <si>
    <t>平成29年度</t>
  </si>
  <si>
    <t>平成30年度</t>
  </si>
  <si>
    <t>田</t>
  </si>
  <si>
    <t>畑</t>
  </si>
  <si>
    <t>池沼</t>
  </si>
  <si>
    <t>山林</t>
  </si>
  <si>
    <t>原野</t>
  </si>
  <si>
    <t>雑種地</t>
  </si>
  <si>
    <t>「概要調書・第2表  総括表」による。</t>
  </si>
  <si>
    <t xml:space="preserve"> </t>
  </si>
  <si>
    <t>４　家屋の概要（課税標準額等）累年比較（当初）</t>
  </si>
  <si>
    <t>（単位:平方メートル・％）</t>
  </si>
  <si>
    <t>床面積（平方メートル）</t>
  </si>
  <si>
    <t>決定価格（千円）</t>
  </si>
  <si>
    <t>棟数</t>
  </si>
  <si>
    <t>１平方メートル当り</t>
  </si>
  <si>
    <t>評価総面積</t>
  </si>
  <si>
    <t>評価総棟数</t>
  </si>
  <si>
    <t>床面積の</t>
  </si>
  <si>
    <t>棟数の</t>
  </si>
  <si>
    <t>平成11年度</t>
  </si>
  <si>
    <t>木造</t>
  </si>
  <si>
    <t>非木造</t>
  </si>
  <si>
    <t>平成12年度</t>
  </si>
  <si>
    <t>木       造</t>
  </si>
  <si>
    <t>非  木  造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</si>
  <si>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</si>
  <si>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</si>
  <si>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</si>
  <si>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</si>
  <si>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</si>
  <si>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</si>
  <si>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</si>
  <si>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</si>
  <si>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</si>
  <si>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</si>
  <si>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</si>
  <si>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平成25年度</t>
  </si>
  <si>
    <t>木       造</t>
  </si>
  <si>
    <t>非  木  造</t>
  </si>
  <si>
    <t>平成26年度</t>
  </si>
  <si>
    <t>平成27年度</t>
  </si>
  <si>
    <r>
      <t>平成2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</si>
  <si>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平成29</t>
    </r>
    <r>
      <rPr>
        <sz val="11"/>
        <rFont val="ＭＳ Ｐゴシック"/>
        <family val="3"/>
      </rPr>
      <t>年度</t>
    </r>
  </si>
  <si>
    <r>
      <t>平成30</t>
    </r>
    <r>
      <rPr>
        <sz val="11"/>
        <rFont val="ＭＳ Ｐゴシック"/>
        <family val="3"/>
      </rPr>
      <t>年度</t>
    </r>
  </si>
  <si>
    <t>令和元年度</t>
  </si>
  <si>
    <t>令和2年度</t>
  </si>
  <si>
    <t>令和3年度</t>
  </si>
  <si>
    <t>専用住宅</t>
  </si>
  <si>
    <t>共同住宅寄宿舎</t>
  </si>
  <si>
    <t>木</t>
  </si>
  <si>
    <t>併用住宅</t>
  </si>
  <si>
    <t>旅館等</t>
  </si>
  <si>
    <t>事務所・銀行・店舗</t>
  </si>
  <si>
    <t>造</t>
  </si>
  <si>
    <t>工場・倉庫</t>
  </si>
  <si>
    <t>事務所・店舗・百貨店</t>
  </si>
  <si>
    <t>非</t>
  </si>
  <si>
    <t>住宅・アパート</t>
  </si>
  <si>
    <t>木</t>
  </si>
  <si>
    <t>ホテル・病院</t>
  </si>
  <si>
    <t>工場・倉庫・市場</t>
  </si>
  <si>
    <t>「概要調書・第24表～第29表」による。</t>
  </si>
  <si>
    <t>５ 償却資産の概要（課税標準額等）累年比較（当初）</t>
  </si>
  <si>
    <t>（単位:千円・％）</t>
  </si>
  <si>
    <t>決定価格</t>
  </si>
  <si>
    <t>市長決定分</t>
  </si>
  <si>
    <t>自治大臣配分</t>
  </si>
  <si>
    <t>知事配分</t>
  </si>
  <si>
    <t>市長決定分</t>
  </si>
  <si>
    <t>総務大臣配分</t>
  </si>
  <si>
    <t>知事配分</t>
  </si>
  <si>
    <t>平成24年度</t>
  </si>
  <si>
    <t>-</t>
  </si>
  <si>
    <t>-</t>
  </si>
  <si>
    <t>総務大臣配分</t>
  </si>
  <si>
    <t>「概要調書・第70表」による</t>
  </si>
  <si>
    <t>［参考］令和3年度市長決定分の内訳</t>
  </si>
  <si>
    <t>（単位:千円）</t>
  </si>
  <si>
    <t>課税標準額の内訳</t>
  </si>
  <si>
    <t>特例適用のもの</t>
  </si>
  <si>
    <t>特例適用以外のもの</t>
  </si>
  <si>
    <t>構築物</t>
  </si>
  <si>
    <t>機械及び装置</t>
  </si>
  <si>
    <t>船舶</t>
  </si>
  <si>
    <t>航空機</t>
  </si>
  <si>
    <t>車両及び運搬具</t>
  </si>
  <si>
    <t>工具・器具及び備品</t>
  </si>
  <si>
    <t>６　軽減税額の累年比較（当初）</t>
  </si>
  <si>
    <t>(単位:千円・平方メートル・％）</t>
  </si>
  <si>
    <t>該当条文</t>
  </si>
  <si>
    <t>法附則第15条の6第1項
（新築住宅）</t>
  </si>
  <si>
    <t>床面積</t>
  </si>
  <si>
    <t>軽減税額</t>
  </si>
  <si>
    <t>法附則第15条の6第2項
（中高層耐火住宅）</t>
  </si>
  <si>
    <t>法附則第15条の7第1項
（長期優良住宅）</t>
  </si>
  <si>
    <t>法附則第15条の7第2項
（長期優良・中高
層耐火住宅）</t>
  </si>
  <si>
    <t>法附則第15条の8第1項
（市街地再開発事業）</t>
  </si>
  <si>
    <t>床面積</t>
  </si>
  <si>
    <t>前年比</t>
  </si>
  <si>
    <t>軽減税額</t>
  </si>
  <si>
    <t>法附則第15条の8第2項
（高齢者優良賃貸住宅）</t>
  </si>
  <si>
    <t>法附則第15条の9第1項
（耐震基準適合住宅）</t>
  </si>
  <si>
    <t>法附則第15条の9第4項
（バリアフリー改修住宅）
（区分所有以外）</t>
  </si>
  <si>
    <t>法附則第15条の9第5項
（バリアフリー改修住宅）
（区分所有）</t>
  </si>
  <si>
    <t>法附則第15条の9第9項
（熱損失防止改修住宅）</t>
  </si>
  <si>
    <t>平成27年附則第17条12項
（高齢者優良賃貸住宅）</t>
  </si>
  <si>
    <t>平成28年附則第18条11項
（バリアフリー改修住宅）</t>
  </si>
  <si>
    <t>「概要調書・第37表」による。</t>
  </si>
  <si>
    <t>７　課税標準の特例累年比較（当初）</t>
  </si>
  <si>
    <t>(1)土地</t>
  </si>
  <si>
    <t>該当条文等</t>
  </si>
  <si>
    <r>
      <t>平成2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</si>
  <si>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決定価格</t>
  </si>
  <si>
    <t>課税標準額</t>
  </si>
  <si>
    <t>法349条の3第9項</t>
  </si>
  <si>
    <t>日本放送協会</t>
  </si>
  <si>
    <t>法349条の3第11項</t>
  </si>
  <si>
    <t>登録有形文化財等の敷地</t>
  </si>
  <si>
    <t>法附則第15条第24項</t>
  </si>
  <si>
    <t>日本郵政公社民営化に係る承継特例</t>
  </si>
  <si>
    <t>法附則第15条第53項</t>
  </si>
  <si>
    <t>軽自動車検査協会</t>
  </si>
  <si>
    <t>法附則第15条第33項</t>
  </si>
  <si>
    <t>農地中間管理機構に賃貸借権設定した農地</t>
  </si>
  <si>
    <t>法附則第15条第34項</t>
  </si>
  <si>
    <t>特定事業所内保育施設</t>
  </si>
  <si>
    <t>法附則第15条の3第1項</t>
  </si>
  <si>
    <t>旅客会社等に係る承継特例</t>
  </si>
  <si>
    <t>法349条の3第28項</t>
  </si>
  <si>
    <t>(2)家屋</t>
  </si>
  <si>
    <t>令和元年度</t>
  </si>
  <si>
    <t>特例価額</t>
  </si>
  <si>
    <t>特例価額</t>
  </si>
  <si>
    <t>日本放送協会用家屋</t>
  </si>
  <si>
    <t>法349条の3第11項</t>
  </si>
  <si>
    <t>登録有形文化財等</t>
  </si>
  <si>
    <t>法349条の3第23項</t>
  </si>
  <si>
    <t>信用協同組合等</t>
  </si>
  <si>
    <t>法349条の3第30項</t>
  </si>
  <si>
    <t>特定信用協同組合等（既存分）</t>
  </si>
  <si>
    <t>法附則第15条第26項</t>
  </si>
  <si>
    <t>鉄軌道事業者等が駅で行う改良工事</t>
  </si>
  <si>
    <t>旅客会社等に係る承継特例</t>
  </si>
  <si>
    <t>平成７年附則第６条第５項</t>
  </si>
  <si>
    <t>平成14年附則第5条第18項</t>
  </si>
  <si>
    <t>介護老人保健施設</t>
  </si>
  <si>
    <t>平成15年附則第11条第17項</t>
  </si>
  <si>
    <t>路外駐車場</t>
  </si>
  <si>
    <t>平成15年附則第11条第９項</t>
  </si>
  <si>
    <t>平成18年附則第13条第17項</t>
  </si>
  <si>
    <t>平成19年附則第8条第１項</t>
  </si>
  <si>
    <t>特定信用協同組合等</t>
  </si>
  <si>
    <t>平成19年附則第8条第２項</t>
  </si>
  <si>
    <t>特定信用協同組合等以外の信用協同組合等</t>
  </si>
  <si>
    <t>「概要調書」による。</t>
  </si>
  <si>
    <t>７　課税標準の特例累年比較(当初)</t>
  </si>
  <si>
    <t>(3)償却資産</t>
  </si>
  <si>
    <t>該当条文等(特例率)</t>
  </si>
  <si>
    <t>令和元年度</t>
  </si>
  <si>
    <t>令和2年度</t>
  </si>
  <si>
    <t>令和3年度</t>
  </si>
  <si>
    <t>法349条の3</t>
  </si>
  <si>
    <t xml:space="preserve"> </t>
  </si>
  <si>
    <t>旧第1項</t>
  </si>
  <si>
    <t>変・送電設備（1/3）</t>
  </si>
  <si>
    <t>変・送電設備（2/3）</t>
  </si>
  <si>
    <t>物品製造業（1/2）</t>
  </si>
  <si>
    <t>物品製造業（3/4）</t>
  </si>
  <si>
    <t>ガス事業設備（1/3）</t>
  </si>
  <si>
    <t>法第349条の3第2項</t>
  </si>
  <si>
    <t>ガス事業設備（2/3）</t>
  </si>
  <si>
    <t>法第349条の3第9項</t>
  </si>
  <si>
    <t>日本放送協会設備</t>
  </si>
  <si>
    <t>法第349条の3第15項</t>
  </si>
  <si>
    <t>宇宙航空研究開発機構</t>
  </si>
  <si>
    <r>
      <t>法第349条の3第19</t>
    </r>
    <r>
      <rPr>
        <sz val="11"/>
        <rFont val="ＭＳ Ｐゴシック"/>
        <family val="3"/>
      </rPr>
      <t>項</t>
    </r>
  </si>
  <si>
    <t>新エネルギー設備(1/3)</t>
  </si>
  <si>
    <t>新エネルギー設備(2/3)</t>
  </si>
  <si>
    <r>
      <t>法第349条の3第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項</t>
    </r>
  </si>
  <si>
    <t>科学技術振興機構</t>
  </si>
  <si>
    <r>
      <t>法第349条の3第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項</t>
    </r>
  </si>
  <si>
    <t>信用協同組合等</t>
  </si>
  <si>
    <r>
      <t>法第349条の3第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項</t>
    </r>
  </si>
  <si>
    <t>家庭的保育事業</t>
  </si>
  <si>
    <t>軽自動車検査協会(1/3)</t>
  </si>
  <si>
    <t>法第349条の3
旧第28項</t>
  </si>
  <si>
    <t>軽自動車検査協会(1/6)</t>
  </si>
  <si>
    <t>軽自動車検査協会(1/2)</t>
  </si>
  <si>
    <t>法附則第15条</t>
  </si>
  <si>
    <t>　　　　　  第2項</t>
  </si>
  <si>
    <t>公共の危害防止施設等（1/6）</t>
  </si>
  <si>
    <t>　　　　　　 〃　　　　　　　（1/3)</t>
  </si>
  <si>
    <t>1号（地域決定型地方税制特例措置（わがまち特例）適用分）</t>
  </si>
  <si>
    <t>　　　　　第53項</t>
  </si>
  <si>
    <t>軽自動車検査協</t>
  </si>
  <si>
    <t>　　　　　第34項</t>
  </si>
  <si>
    <t>　　　　　第41項</t>
  </si>
  <si>
    <t>先端設備等</t>
  </si>
  <si>
    <t>　　　　旧10項</t>
  </si>
  <si>
    <t>特定駐車場</t>
  </si>
  <si>
    <t>　　　　 旧第3項</t>
  </si>
  <si>
    <t>公害防止設備</t>
  </si>
  <si>
    <t>　　　　 旧第5項</t>
  </si>
  <si>
    <t>公共危害防止構築物(1/3)</t>
  </si>
  <si>
    <t>　　　   旧第8項</t>
  </si>
  <si>
    <t>高度テレビジョン放送施設(3/4)</t>
  </si>
  <si>
    <t>　　　　　　 〃　　　　　　　  （4/5)</t>
  </si>
  <si>
    <t>　　　　旧第13項</t>
  </si>
  <si>
    <t>救急医療用機器</t>
  </si>
  <si>
    <t>　　　　旧第15項</t>
  </si>
  <si>
    <t>老人保健施設(5/6)</t>
  </si>
  <si>
    <t>　　　　　　〃</t>
  </si>
  <si>
    <t>老人保健施設(7/8)</t>
  </si>
  <si>
    <t>広帯域加入者網構築設備（2/3）</t>
  </si>
  <si>
    <t>　　　　　　〃</t>
  </si>
  <si>
    <t>　　　　　　〃　　　　　　　　　（4/5)</t>
  </si>
  <si>
    <t>　　　　　　〃　　　　　　　　　（3/4)</t>
  </si>
  <si>
    <t>　　　　旧第20項</t>
  </si>
  <si>
    <t>電気通信信頼性向上設備（3/4)</t>
  </si>
  <si>
    <t>　　　　　　〃　　　　　　　　　（4/5)</t>
  </si>
  <si>
    <t>　　　　　　〃　　　　　　　　　（5/6)</t>
  </si>
  <si>
    <r>
      <t>　　　　旧</t>
    </r>
    <r>
      <rPr>
        <sz val="11"/>
        <rFont val="ＭＳ Ｐゴシック"/>
        <family val="3"/>
      </rPr>
      <t>第2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項</t>
    </r>
  </si>
  <si>
    <t>日本郵政公社の民営化に係る継承特例</t>
  </si>
  <si>
    <t>　　　　旧第26項</t>
  </si>
  <si>
    <t>電線類の地中化設備(9/10)</t>
  </si>
  <si>
    <t>　　　　旧第27項</t>
  </si>
  <si>
    <t>特定特殊自動車（1/2)</t>
  </si>
  <si>
    <t>　　　　旧28項(2)</t>
  </si>
  <si>
    <t>電気通信高度化設備(3/4)</t>
  </si>
  <si>
    <t>電気通信高度化設備(5/6)</t>
  </si>
  <si>
    <t>電気通信高度化設備(9/10)</t>
  </si>
  <si>
    <t>　　　　旧第33項</t>
  </si>
  <si>
    <t>再生可能エネルギー発電設備</t>
  </si>
  <si>
    <t>　　　　旧第37項</t>
  </si>
  <si>
    <t>次世代通信網構築設備（4/5)</t>
  </si>
  <si>
    <t>　　　　旧第41項</t>
  </si>
  <si>
    <t>　　　　旧第43項</t>
  </si>
  <si>
    <t>経営力向上設備</t>
  </si>
  <si>
    <t>「概要調書・第73～75表」による。</t>
  </si>
  <si>
    <t>８　国有資産等所在市交付金累年比較</t>
  </si>
  <si>
    <t>固定資産の価格</t>
  </si>
  <si>
    <t>算定標準額</t>
  </si>
  <si>
    <t>交付金額</t>
  </si>
  <si>
    <t>価格</t>
  </si>
  <si>
    <t>国有資産分</t>
  </si>
  <si>
    <t>国有資産分</t>
  </si>
  <si>
    <t>平成24年度</t>
  </si>
  <si>
    <t>県有資産分</t>
  </si>
  <si>
    <t>９　都市計画税の概要（区域・面積等）累年比較（当初）</t>
  </si>
  <si>
    <t>(1)区域の面積</t>
  </si>
  <si>
    <t>（単位:千平方メートル・％）</t>
  </si>
  <si>
    <t>市街化区域</t>
  </si>
  <si>
    <t>市街化
調整区域</t>
  </si>
  <si>
    <t>市街化</t>
  </si>
  <si>
    <t>区域</t>
  </si>
  <si>
    <t>調整区域</t>
  </si>
  <si>
    <t>「概要調書」による。</t>
  </si>
  <si>
    <t>(2)課税区域の面積</t>
  </si>
  <si>
    <t>市街化調整区域</t>
  </si>
  <si>
    <t>　</t>
  </si>
  <si>
    <t>(3)課税標準額（免税点以上のもの）</t>
  </si>
  <si>
    <t>（単位:千円・％）</t>
  </si>
  <si>
    <t>土地</t>
  </si>
  <si>
    <t>家屋</t>
  </si>
  <si>
    <t>Ⅱ　固定資産税・都市計画税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</si>
</sst>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,##0.0_ "/>
    <numFmt numFmtId="184" formatCode="#,##0_);[Red]\(#,##0\)"/>
    <numFmt numFmtId="185" formatCode="#,##0.0_);[Red]\(#,##0.0\)"/>
    <numFmt numFmtId="186" formatCode="0.0_);[Red]\(0.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69">
    <xf numFmtId="0" fontId="0" fillId="0" borderId="0" xfId="0" applyAlignment="1">
      <alignment vertical="center"/>
    </xf>
    <xf numFmtId="0" fontId="5" fillId="0" borderId="0" xfId="66" applyFont="1" applyAlignment="1">
      <alignment vertical="center"/>
      <protection/>
    </xf>
    <xf numFmtId="0" fontId="0" fillId="0" borderId="0" xfId="66" applyAlignment="1">
      <alignment vertical="center"/>
      <protection/>
    </xf>
    <xf numFmtId="0" fontId="4" fillId="0" borderId="0" xfId="66" applyFont="1" applyAlignment="1">
      <alignment vertical="center"/>
      <protection/>
    </xf>
    <xf numFmtId="176" fontId="0" fillId="0" borderId="10" xfId="66" applyNumberFormat="1" applyBorder="1" applyAlignment="1">
      <alignment vertical="center"/>
      <protection/>
    </xf>
    <xf numFmtId="177" fontId="0" fillId="0" borderId="11" xfId="66" applyNumberFormat="1" applyBorder="1" applyAlignment="1">
      <alignment vertical="center"/>
      <protection/>
    </xf>
    <xf numFmtId="0" fontId="0" fillId="0" borderId="0" xfId="66" applyFont="1" applyAlignment="1">
      <alignment horizontal="right" vertical="center"/>
      <protection/>
    </xf>
    <xf numFmtId="0" fontId="0" fillId="0" borderId="0" xfId="66" applyFont="1" applyAlignment="1">
      <alignment vertical="center"/>
      <protection/>
    </xf>
    <xf numFmtId="177" fontId="0" fillId="0" borderId="12" xfId="66" applyNumberFormat="1" applyBorder="1" applyAlignment="1">
      <alignment vertical="center"/>
      <protection/>
    </xf>
    <xf numFmtId="176" fontId="0" fillId="0" borderId="13" xfId="66" applyNumberFormat="1" applyBorder="1" applyAlignment="1">
      <alignment vertical="center"/>
      <protection/>
    </xf>
    <xf numFmtId="176" fontId="0" fillId="0" borderId="14" xfId="66" applyNumberFormat="1" applyBorder="1" applyAlignment="1">
      <alignment vertical="center"/>
      <protection/>
    </xf>
    <xf numFmtId="176" fontId="0" fillId="0" borderId="15" xfId="66" applyNumberFormat="1" applyBorder="1" applyAlignment="1">
      <alignment vertical="center"/>
      <protection/>
    </xf>
    <xf numFmtId="176" fontId="0" fillId="0" borderId="16" xfId="66" applyNumberFormat="1" applyBorder="1" applyAlignment="1">
      <alignment vertical="center"/>
      <protection/>
    </xf>
    <xf numFmtId="176" fontId="0" fillId="0" borderId="17" xfId="66" applyNumberFormat="1" applyBorder="1" applyAlignment="1">
      <alignment vertical="center"/>
      <protection/>
    </xf>
    <xf numFmtId="177" fontId="0" fillId="0" borderId="18" xfId="66" applyNumberFormat="1" applyBorder="1" applyAlignment="1">
      <alignment vertical="center"/>
      <protection/>
    </xf>
    <xf numFmtId="177" fontId="0" fillId="0" borderId="19" xfId="66" applyNumberFormat="1" applyBorder="1" applyAlignment="1">
      <alignment vertical="center"/>
      <protection/>
    </xf>
    <xf numFmtId="176" fontId="0" fillId="0" borderId="20" xfId="66" applyNumberFormat="1" applyBorder="1" applyAlignment="1">
      <alignment vertical="center"/>
      <protection/>
    </xf>
    <xf numFmtId="176" fontId="0" fillId="0" borderId="21" xfId="66" applyNumberFormat="1" applyBorder="1" applyAlignment="1">
      <alignment vertical="center"/>
      <protection/>
    </xf>
    <xf numFmtId="176" fontId="0" fillId="0" borderId="22" xfId="66" applyNumberFormat="1" applyBorder="1" applyAlignment="1">
      <alignment vertical="center"/>
      <protection/>
    </xf>
    <xf numFmtId="176" fontId="0" fillId="0" borderId="23" xfId="66" applyNumberFormat="1" applyBorder="1" applyAlignment="1">
      <alignment vertical="center"/>
      <protection/>
    </xf>
    <xf numFmtId="0" fontId="0" fillId="0" borderId="24" xfId="66" applyBorder="1" applyAlignment="1">
      <alignment vertical="center"/>
      <protection/>
    </xf>
    <xf numFmtId="0" fontId="0" fillId="0" borderId="25" xfId="66" applyBorder="1" applyAlignment="1">
      <alignment vertical="center"/>
      <protection/>
    </xf>
    <xf numFmtId="0" fontId="0" fillId="0" borderId="24" xfId="66" applyBorder="1" applyAlignment="1">
      <alignment horizontal="center" vertical="center"/>
      <protection/>
    </xf>
    <xf numFmtId="0" fontId="0" fillId="0" borderId="26" xfId="66" applyBorder="1" applyAlignment="1">
      <alignment horizontal="center" vertical="center"/>
      <protection/>
    </xf>
    <xf numFmtId="0" fontId="0" fillId="0" borderId="27" xfId="66" applyBorder="1" applyAlignment="1">
      <alignment horizontal="center" vertical="center"/>
      <protection/>
    </xf>
    <xf numFmtId="0" fontId="0" fillId="0" borderId="17" xfId="66" applyBorder="1" applyAlignment="1">
      <alignment horizontal="center" vertical="center"/>
      <protection/>
    </xf>
    <xf numFmtId="0" fontId="0" fillId="0" borderId="18" xfId="66" applyBorder="1" applyAlignment="1">
      <alignment horizontal="center" vertical="center"/>
      <protection/>
    </xf>
    <xf numFmtId="0" fontId="0" fillId="0" borderId="10" xfId="66" applyBorder="1" applyAlignment="1">
      <alignment horizontal="center" vertical="center"/>
      <protection/>
    </xf>
    <xf numFmtId="0" fontId="0" fillId="0" borderId="11" xfId="66" applyBorder="1" applyAlignment="1">
      <alignment horizontal="center" vertical="center"/>
      <protection/>
    </xf>
    <xf numFmtId="0" fontId="0" fillId="0" borderId="24" xfId="66" applyFont="1" applyBorder="1" applyAlignment="1">
      <alignment horizontal="center" vertical="center"/>
      <protection/>
    </xf>
    <xf numFmtId="0" fontId="0" fillId="0" borderId="14" xfId="66" applyBorder="1" applyAlignment="1">
      <alignment horizontal="center" vertical="center"/>
      <protection/>
    </xf>
    <xf numFmtId="0" fontId="0" fillId="0" borderId="15" xfId="66" applyBorder="1" applyAlignment="1">
      <alignment horizontal="center" vertical="center"/>
      <protection/>
    </xf>
    <xf numFmtId="0" fontId="0" fillId="0" borderId="13" xfId="66" applyBorder="1" applyAlignment="1">
      <alignment horizontal="center" vertical="center"/>
      <protection/>
    </xf>
    <xf numFmtId="0" fontId="0" fillId="0" borderId="16" xfId="66" applyBorder="1" applyAlignment="1">
      <alignment horizontal="center" vertical="center"/>
      <protection/>
    </xf>
    <xf numFmtId="0" fontId="0" fillId="0" borderId="28" xfId="66" applyFont="1" applyBorder="1" applyAlignment="1">
      <alignment horizontal="center" vertical="center"/>
      <protection/>
    </xf>
    <xf numFmtId="176" fontId="0" fillId="0" borderId="29" xfId="66" applyNumberFormat="1" applyBorder="1" applyAlignment="1">
      <alignment vertical="center"/>
      <protection/>
    </xf>
    <xf numFmtId="176" fontId="0" fillId="0" borderId="28" xfId="66" applyNumberFormat="1" applyBorder="1" applyAlignment="1">
      <alignment vertical="center"/>
      <protection/>
    </xf>
    <xf numFmtId="0" fontId="0" fillId="0" borderId="21" xfId="66" applyBorder="1" applyAlignment="1">
      <alignment horizontal="center" vertical="center"/>
      <protection/>
    </xf>
    <xf numFmtId="0" fontId="0" fillId="0" borderId="29" xfId="66" applyFont="1" applyBorder="1" applyAlignment="1">
      <alignment horizontal="center" vertical="center"/>
      <protection/>
    </xf>
    <xf numFmtId="0" fontId="0" fillId="0" borderId="30" xfId="66" applyBorder="1" applyAlignment="1">
      <alignment horizontal="center" vertical="center"/>
      <protection/>
    </xf>
    <xf numFmtId="0" fontId="0" fillId="0" borderId="31" xfId="66" applyFont="1" applyBorder="1" applyAlignment="1">
      <alignment horizontal="center" vertical="center"/>
      <protection/>
    </xf>
    <xf numFmtId="0" fontId="0" fillId="0" borderId="32" xfId="66" applyFont="1" applyBorder="1" applyAlignment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ont="1" applyFill="1" applyAlignment="1">
      <alignment horizontal="right" vertical="center"/>
      <protection/>
    </xf>
    <xf numFmtId="0" fontId="0" fillId="0" borderId="32" xfId="66" applyFont="1" applyFill="1" applyBorder="1" applyAlignment="1">
      <alignment horizontal="center" vertical="center"/>
      <protection/>
    </xf>
    <xf numFmtId="176" fontId="0" fillId="0" borderId="14" xfId="66" applyNumberFormat="1" applyFill="1" applyBorder="1" applyAlignment="1">
      <alignment vertical="center"/>
      <protection/>
    </xf>
    <xf numFmtId="176" fontId="0" fillId="0" borderId="29" xfId="66" applyNumberFormat="1" applyFill="1" applyBorder="1" applyAlignment="1">
      <alignment vertical="center"/>
      <protection/>
    </xf>
    <xf numFmtId="176" fontId="0" fillId="0" borderId="10" xfId="66" applyNumberFormat="1" applyFill="1" applyBorder="1" applyAlignment="1">
      <alignment vertical="center"/>
      <protection/>
    </xf>
    <xf numFmtId="177" fontId="0" fillId="0" borderId="12" xfId="66" applyNumberFormat="1" applyFill="1" applyBorder="1" applyAlignment="1">
      <alignment vertical="center"/>
      <protection/>
    </xf>
    <xf numFmtId="176" fontId="0" fillId="0" borderId="13" xfId="66" applyNumberFormat="1" applyFill="1" applyBorder="1" applyAlignment="1">
      <alignment vertical="center"/>
      <protection/>
    </xf>
    <xf numFmtId="177" fontId="0" fillId="0" borderId="11" xfId="66" applyNumberFormat="1" applyFill="1" applyBorder="1" applyAlignment="1">
      <alignment vertical="center"/>
      <protection/>
    </xf>
    <xf numFmtId="176" fontId="0" fillId="0" borderId="15" xfId="66" applyNumberFormat="1" applyFill="1" applyBorder="1" applyAlignment="1">
      <alignment vertical="center"/>
      <protection/>
    </xf>
    <xf numFmtId="176" fontId="0" fillId="0" borderId="16" xfId="66" applyNumberFormat="1" applyFill="1" applyBorder="1" applyAlignment="1">
      <alignment vertical="center"/>
      <protection/>
    </xf>
    <xf numFmtId="0" fontId="0" fillId="0" borderId="31" xfId="66" applyFont="1" applyFill="1" applyBorder="1" applyAlignment="1">
      <alignment horizontal="center" vertical="center"/>
      <protection/>
    </xf>
    <xf numFmtId="176" fontId="0" fillId="0" borderId="21" xfId="66" applyNumberFormat="1" applyFill="1" applyBorder="1" applyAlignment="1">
      <alignment vertical="center"/>
      <protection/>
    </xf>
    <xf numFmtId="176" fontId="0" fillId="0" borderId="28" xfId="66" applyNumberFormat="1" applyFill="1" applyBorder="1" applyAlignment="1">
      <alignment vertical="center"/>
      <protection/>
    </xf>
    <xf numFmtId="176" fontId="0" fillId="0" borderId="17" xfId="66" applyNumberFormat="1" applyFill="1" applyBorder="1" applyAlignment="1">
      <alignment vertical="center"/>
      <protection/>
    </xf>
    <xf numFmtId="177" fontId="0" fillId="0" borderId="18" xfId="66" applyNumberFormat="1" applyFill="1" applyBorder="1" applyAlignment="1">
      <alignment vertical="center"/>
      <protection/>
    </xf>
    <xf numFmtId="176" fontId="0" fillId="0" borderId="20" xfId="66" applyNumberFormat="1" applyFill="1" applyBorder="1" applyAlignment="1">
      <alignment vertical="center"/>
      <protection/>
    </xf>
    <xf numFmtId="177" fontId="0" fillId="0" borderId="19" xfId="66" applyNumberFormat="1" applyFill="1" applyBorder="1" applyAlignment="1">
      <alignment vertical="center"/>
      <protection/>
    </xf>
    <xf numFmtId="176" fontId="0" fillId="0" borderId="22" xfId="66" applyNumberFormat="1" applyFill="1" applyBorder="1" applyAlignment="1">
      <alignment vertical="center"/>
      <protection/>
    </xf>
    <xf numFmtId="176" fontId="0" fillId="0" borderId="23" xfId="66" applyNumberFormat="1" applyFill="1" applyBorder="1" applyAlignment="1">
      <alignment vertical="center"/>
      <protection/>
    </xf>
    <xf numFmtId="0" fontId="0" fillId="0" borderId="33" xfId="66" applyFill="1" applyBorder="1" applyAlignment="1">
      <alignment vertical="center"/>
      <protection/>
    </xf>
    <xf numFmtId="0" fontId="0" fillId="0" borderId="0" xfId="66" applyFill="1" applyBorder="1" applyAlignment="1">
      <alignment vertical="center"/>
      <protection/>
    </xf>
    <xf numFmtId="0" fontId="0" fillId="0" borderId="34" xfId="66" applyFont="1" applyFill="1" applyBorder="1" applyAlignment="1">
      <alignment horizontal="right" vertical="center"/>
      <protection/>
    </xf>
    <xf numFmtId="0" fontId="0" fillId="0" borderId="0" xfId="66" applyAlignment="1">
      <alignment horizontal="right" vertical="center"/>
      <protection/>
    </xf>
    <xf numFmtId="177" fontId="0" fillId="0" borderId="16" xfId="66" applyNumberFormat="1" applyFill="1" applyBorder="1" applyAlignment="1">
      <alignment vertical="center"/>
      <protection/>
    </xf>
    <xf numFmtId="0" fontId="0" fillId="0" borderId="31" xfId="66" applyFont="1" applyFill="1" applyBorder="1" applyAlignment="1">
      <alignment horizontal="center" vertical="center"/>
      <protection/>
    </xf>
    <xf numFmtId="176" fontId="0" fillId="0" borderId="0" xfId="66" applyNumberFormat="1" applyFont="1" applyBorder="1" applyAlignment="1">
      <alignment vertical="center"/>
      <protection/>
    </xf>
    <xf numFmtId="176" fontId="0" fillId="0" borderId="17" xfId="66" applyNumberFormat="1" applyFont="1" applyBorder="1" applyAlignment="1">
      <alignment vertical="center"/>
      <protection/>
    </xf>
    <xf numFmtId="183" fontId="0" fillId="0" borderId="18" xfId="66" applyNumberFormat="1" applyFont="1" applyBorder="1" applyAlignment="1">
      <alignment vertical="center"/>
      <protection/>
    </xf>
    <xf numFmtId="176" fontId="0" fillId="0" borderId="35" xfId="66" applyNumberFormat="1" applyFont="1" applyBorder="1" applyAlignment="1">
      <alignment vertical="center"/>
      <protection/>
    </xf>
    <xf numFmtId="183" fontId="0" fillId="0" borderId="34" xfId="66" applyNumberFormat="1" applyFont="1" applyBorder="1" applyAlignment="1">
      <alignment vertical="center"/>
      <protection/>
    </xf>
    <xf numFmtId="176" fontId="0" fillId="0" borderId="36" xfId="66" applyNumberFormat="1" applyFont="1" applyBorder="1" applyAlignment="1">
      <alignment vertical="center"/>
      <protection/>
    </xf>
    <xf numFmtId="176" fontId="0" fillId="0" borderId="34" xfId="66" applyNumberFormat="1" applyFont="1" applyBorder="1" applyAlignment="1">
      <alignment vertical="center"/>
      <protection/>
    </xf>
    <xf numFmtId="176" fontId="0" fillId="0" borderId="37" xfId="66" applyNumberFormat="1" applyFont="1" applyBorder="1" applyAlignment="1">
      <alignment vertical="center"/>
      <protection/>
    </xf>
    <xf numFmtId="183" fontId="0" fillId="0" borderId="38" xfId="66" applyNumberFormat="1" applyFont="1" applyBorder="1" applyAlignment="1">
      <alignment vertical="center"/>
      <protection/>
    </xf>
    <xf numFmtId="183" fontId="0" fillId="0" borderId="39" xfId="66" applyNumberFormat="1" applyFont="1" applyBorder="1" applyAlignment="1">
      <alignment vertical="center"/>
      <protection/>
    </xf>
    <xf numFmtId="0" fontId="0" fillId="0" borderId="31" xfId="66" applyFont="1" applyBorder="1" applyAlignment="1">
      <alignment horizontal="center" vertical="center"/>
      <protection/>
    </xf>
    <xf numFmtId="176" fontId="0" fillId="0" borderId="21" xfId="66" applyNumberFormat="1" applyFont="1" applyBorder="1" applyAlignment="1">
      <alignment vertical="center"/>
      <protection/>
    </xf>
    <xf numFmtId="183" fontId="0" fillId="0" borderId="23" xfId="66" applyNumberFormat="1" applyFont="1" applyBorder="1" applyAlignment="1">
      <alignment vertical="center"/>
      <protection/>
    </xf>
    <xf numFmtId="176" fontId="0" fillId="0" borderId="22" xfId="66" applyNumberFormat="1" applyFont="1" applyBorder="1" applyAlignment="1">
      <alignment vertical="center"/>
      <protection/>
    </xf>
    <xf numFmtId="176" fontId="0" fillId="0" borderId="23" xfId="66" applyNumberFormat="1" applyFont="1" applyBorder="1" applyAlignment="1">
      <alignment vertical="center"/>
      <protection/>
    </xf>
    <xf numFmtId="176" fontId="0" fillId="0" borderId="13" xfId="66" applyNumberFormat="1" applyFont="1" applyBorder="1" applyAlignment="1">
      <alignment vertical="center"/>
      <protection/>
    </xf>
    <xf numFmtId="176" fontId="0" fillId="0" borderId="14" xfId="66" applyNumberFormat="1" applyFont="1" applyBorder="1" applyAlignment="1">
      <alignment vertical="center"/>
      <protection/>
    </xf>
    <xf numFmtId="176" fontId="0" fillId="0" borderId="29" xfId="66" applyNumberFormat="1" applyFont="1" applyBorder="1" applyAlignment="1">
      <alignment vertical="center"/>
      <protection/>
    </xf>
    <xf numFmtId="176" fontId="0" fillId="0" borderId="40" xfId="66" applyNumberFormat="1" applyFont="1" applyFill="1" applyBorder="1" applyAlignment="1">
      <alignment vertical="center"/>
      <protection/>
    </xf>
    <xf numFmtId="176" fontId="0" fillId="0" borderId="41" xfId="66" applyNumberFormat="1" applyFont="1" applyFill="1" applyBorder="1" applyAlignment="1">
      <alignment vertical="center"/>
      <protection/>
    </xf>
    <xf numFmtId="176" fontId="0" fillId="0" borderId="39" xfId="66" applyNumberFormat="1" applyFont="1" applyFill="1" applyBorder="1" applyAlignment="1">
      <alignment vertical="center"/>
      <protection/>
    </xf>
    <xf numFmtId="0" fontId="0" fillId="0" borderId="42" xfId="66" applyFont="1" applyFill="1" applyBorder="1" applyAlignment="1">
      <alignment horizontal="center" vertical="center"/>
      <protection/>
    </xf>
    <xf numFmtId="0" fontId="5" fillId="0" borderId="0" xfId="66" applyFont="1">
      <alignment/>
      <protection/>
    </xf>
    <xf numFmtId="0" fontId="0" fillId="0" borderId="0" xfId="61">
      <alignment/>
      <protection/>
    </xf>
    <xf numFmtId="0" fontId="0" fillId="0" borderId="0" xfId="61" applyFill="1">
      <alignment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0" fillId="0" borderId="0" xfId="61" applyAlignment="1">
      <alignment horizontal="right"/>
      <protection/>
    </xf>
    <xf numFmtId="0" fontId="0" fillId="0" borderId="0" xfId="61" applyFill="1" applyAlignment="1">
      <alignment horizontal="right"/>
      <protection/>
    </xf>
    <xf numFmtId="0" fontId="0" fillId="0" borderId="43" xfId="66" applyFont="1" applyBorder="1" applyAlignment="1">
      <alignment horizontal="center" vertical="center"/>
      <protection/>
    </xf>
    <xf numFmtId="0" fontId="0" fillId="0" borderId="44" xfId="66" applyFont="1" applyBorder="1" applyAlignment="1">
      <alignment horizontal="center" vertical="center"/>
      <protection/>
    </xf>
    <xf numFmtId="0" fontId="0" fillId="0" borderId="45" xfId="66" applyFont="1" applyBorder="1" applyAlignment="1">
      <alignment horizontal="center" vertical="center"/>
      <protection/>
    </xf>
    <xf numFmtId="0" fontId="0" fillId="0" borderId="44" xfId="66" applyFont="1" applyFill="1" applyBorder="1" applyAlignment="1">
      <alignment horizontal="center" vertical="center"/>
      <protection/>
    </xf>
    <xf numFmtId="0" fontId="0" fillId="0" borderId="45" xfId="66" applyFont="1" applyFill="1" applyBorder="1" applyAlignment="1">
      <alignment horizontal="center" vertical="center"/>
      <protection/>
    </xf>
    <xf numFmtId="0" fontId="0" fillId="0" borderId="46" xfId="66" applyFont="1" applyFill="1" applyBorder="1" applyAlignment="1">
      <alignment horizontal="center" vertical="center"/>
      <protection/>
    </xf>
    <xf numFmtId="0" fontId="0" fillId="0" borderId="46" xfId="61" applyFont="1" applyBorder="1" applyAlignment="1">
      <alignment horizontal="center" vertical="center"/>
      <protection/>
    </xf>
    <xf numFmtId="0" fontId="0" fillId="0" borderId="47" xfId="61" applyFont="1" applyFill="1" applyBorder="1" applyAlignment="1">
      <alignment horizontal="center" vertical="center"/>
      <protection/>
    </xf>
    <xf numFmtId="0" fontId="0" fillId="0" borderId="48" xfId="61" applyBorder="1">
      <alignment/>
      <protection/>
    </xf>
    <xf numFmtId="0" fontId="0" fillId="0" borderId="49" xfId="61" applyBorder="1">
      <alignment/>
      <protection/>
    </xf>
    <xf numFmtId="0" fontId="0" fillId="0" borderId="48" xfId="61" applyFill="1" applyBorder="1">
      <alignment/>
      <protection/>
    </xf>
    <xf numFmtId="0" fontId="0" fillId="0" borderId="49" xfId="61" applyFill="1" applyBorder="1">
      <alignment/>
      <protection/>
    </xf>
    <xf numFmtId="0" fontId="0" fillId="0" borderId="0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40" xfId="61" applyFont="1" applyFill="1" applyBorder="1">
      <alignment/>
      <protection/>
    </xf>
    <xf numFmtId="0" fontId="0" fillId="0" borderId="24" xfId="61" applyBorder="1" applyAlignment="1">
      <alignment vertical="center"/>
      <protection/>
    </xf>
    <xf numFmtId="0" fontId="0" fillId="0" borderId="50" xfId="61" applyBorder="1" applyAlignment="1">
      <alignment vertical="center"/>
      <protection/>
    </xf>
    <xf numFmtId="176" fontId="0" fillId="0" borderId="14" xfId="61" applyNumberFormat="1" applyBorder="1" applyAlignment="1">
      <alignment vertical="center"/>
      <protection/>
    </xf>
    <xf numFmtId="176" fontId="0" fillId="0" borderId="0" xfId="61" applyNumberFormat="1" applyBorder="1" applyAlignment="1">
      <alignment vertical="center"/>
      <protection/>
    </xf>
    <xf numFmtId="176" fontId="0" fillId="0" borderId="14" xfId="61" applyNumberFormat="1" applyFill="1" applyBorder="1" applyAlignment="1">
      <alignment vertical="center"/>
      <protection/>
    </xf>
    <xf numFmtId="176" fontId="0" fillId="0" borderId="0" xfId="61" applyNumberFormat="1" applyFill="1" applyBorder="1" applyAlignment="1">
      <alignment vertical="center"/>
      <protection/>
    </xf>
    <xf numFmtId="176" fontId="0" fillId="0" borderId="0" xfId="61" applyNumberFormat="1" applyFont="1" applyBorder="1" applyAlignment="1">
      <alignment vertical="center"/>
      <protection/>
    </xf>
    <xf numFmtId="176" fontId="0" fillId="0" borderId="21" xfId="61" applyNumberFormat="1" applyFont="1" applyBorder="1" applyAlignment="1">
      <alignment vertical="center"/>
      <protection/>
    </xf>
    <xf numFmtId="176" fontId="0" fillId="0" borderId="40" xfId="61" applyNumberFormat="1" applyFont="1" applyFill="1" applyBorder="1" applyAlignment="1">
      <alignment vertical="center"/>
      <protection/>
    </xf>
    <xf numFmtId="176" fontId="0" fillId="0" borderId="21" xfId="61" applyNumberFormat="1" applyFill="1" applyBorder="1" applyAlignment="1">
      <alignment vertical="center"/>
      <protection/>
    </xf>
    <xf numFmtId="176" fontId="0" fillId="0" borderId="28" xfId="61" applyNumberFormat="1" applyFont="1" applyBorder="1" applyAlignment="1">
      <alignment vertical="center"/>
      <protection/>
    </xf>
    <xf numFmtId="176" fontId="0" fillId="0" borderId="51" xfId="61" applyNumberFormat="1" applyFont="1" applyFill="1" applyBorder="1" applyAlignment="1">
      <alignment vertical="center"/>
      <protection/>
    </xf>
    <xf numFmtId="0" fontId="0" fillId="0" borderId="52" xfId="61" applyBorder="1" applyAlignment="1">
      <alignment vertical="center"/>
      <protection/>
    </xf>
    <xf numFmtId="0" fontId="0" fillId="0" borderId="53" xfId="61" applyBorder="1" applyAlignment="1">
      <alignment horizontal="center" vertical="center"/>
      <protection/>
    </xf>
    <xf numFmtId="176" fontId="0" fillId="0" borderId="10" xfId="61" applyNumberFormat="1" applyBorder="1" applyAlignment="1">
      <alignment vertical="center"/>
      <protection/>
    </xf>
    <xf numFmtId="176" fontId="0" fillId="0" borderId="35" xfId="61" applyNumberFormat="1" applyBorder="1" applyAlignment="1">
      <alignment vertical="center"/>
      <protection/>
    </xf>
    <xf numFmtId="176" fontId="0" fillId="0" borderId="10" xfId="61" applyNumberFormat="1" applyFill="1" applyBorder="1" applyAlignment="1">
      <alignment vertical="center"/>
      <protection/>
    </xf>
    <xf numFmtId="176" fontId="0" fillId="0" borderId="35" xfId="61" applyNumberFormat="1" applyFill="1" applyBorder="1" applyAlignment="1">
      <alignment vertical="center"/>
      <protection/>
    </xf>
    <xf numFmtId="176" fontId="0" fillId="0" borderId="35" xfId="61" applyNumberFormat="1" applyFont="1" applyBorder="1" applyAlignment="1">
      <alignment vertical="center"/>
      <protection/>
    </xf>
    <xf numFmtId="176" fontId="0" fillId="0" borderId="17" xfId="61" applyNumberFormat="1" applyFont="1" applyBorder="1" applyAlignment="1">
      <alignment vertical="center"/>
      <protection/>
    </xf>
    <xf numFmtId="176" fontId="0" fillId="0" borderId="37" xfId="61" applyNumberFormat="1" applyFont="1" applyFill="1" applyBorder="1" applyAlignment="1">
      <alignment vertical="center"/>
      <protection/>
    </xf>
    <xf numFmtId="176" fontId="0" fillId="0" borderId="54" xfId="61" applyNumberFormat="1" applyFont="1" applyBorder="1" applyAlignment="1">
      <alignment vertical="center"/>
      <protection/>
    </xf>
    <xf numFmtId="176" fontId="0" fillId="0" borderId="37" xfId="61" applyNumberFormat="1" applyFont="1" applyBorder="1" applyAlignment="1">
      <alignment vertical="center"/>
      <protection/>
    </xf>
    <xf numFmtId="183" fontId="0" fillId="0" borderId="16" xfId="61" applyNumberFormat="1" applyBorder="1" applyAlignment="1">
      <alignment vertical="center"/>
      <protection/>
    </xf>
    <xf numFmtId="183" fontId="0" fillId="0" borderId="34" xfId="61" applyNumberFormat="1" applyBorder="1" applyAlignment="1">
      <alignment vertical="center"/>
      <protection/>
    </xf>
    <xf numFmtId="183" fontId="0" fillId="0" borderId="16" xfId="61" applyNumberFormat="1" applyFill="1" applyBorder="1" applyAlignment="1">
      <alignment vertical="center"/>
      <protection/>
    </xf>
    <xf numFmtId="183" fontId="0" fillId="0" borderId="34" xfId="61" applyNumberFormat="1" applyFill="1" applyBorder="1" applyAlignment="1">
      <alignment vertical="center"/>
      <protection/>
    </xf>
    <xf numFmtId="183" fontId="0" fillId="0" borderId="34" xfId="61" applyNumberFormat="1" applyFont="1" applyBorder="1" applyAlignment="1">
      <alignment vertical="center"/>
      <protection/>
    </xf>
    <xf numFmtId="183" fontId="0" fillId="0" borderId="23" xfId="61" applyNumberFormat="1" applyFont="1" applyBorder="1" applyAlignment="1">
      <alignment vertical="center"/>
      <protection/>
    </xf>
    <xf numFmtId="183" fontId="0" fillId="0" borderId="39" xfId="61" applyNumberFormat="1" applyFont="1" applyFill="1" applyBorder="1" applyAlignment="1">
      <alignment vertical="center"/>
      <protection/>
    </xf>
    <xf numFmtId="0" fontId="46" fillId="0" borderId="0" xfId="61" applyFont="1">
      <alignment/>
      <protection/>
    </xf>
    <xf numFmtId="0" fontId="0" fillId="0" borderId="0" xfId="61" applyFont="1">
      <alignment/>
      <protection/>
    </xf>
    <xf numFmtId="0" fontId="0" fillId="0" borderId="46" xfId="66" applyFont="1" applyBorder="1" applyAlignment="1">
      <alignment horizontal="center" vertical="center"/>
      <protection/>
    </xf>
    <xf numFmtId="0" fontId="0" fillId="0" borderId="45" xfId="66" applyFont="1" applyFill="1" applyBorder="1" applyAlignment="1">
      <alignment horizontal="center" vertical="center"/>
      <protection/>
    </xf>
    <xf numFmtId="184" fontId="0" fillId="0" borderId="48" xfId="61" applyNumberFormat="1" applyBorder="1" applyAlignment="1">
      <alignment vertical="center"/>
      <protection/>
    </xf>
    <xf numFmtId="184" fontId="0" fillId="0" borderId="49" xfId="61" applyNumberFormat="1" applyBorder="1" applyAlignment="1">
      <alignment vertical="center"/>
      <protection/>
    </xf>
    <xf numFmtId="184" fontId="0" fillId="0" borderId="48" xfId="61" applyNumberFormat="1" applyFill="1" applyBorder="1" applyAlignment="1">
      <alignment vertical="center"/>
      <protection/>
    </xf>
    <xf numFmtId="184" fontId="0" fillId="0" borderId="49" xfId="61" applyNumberFormat="1" applyFill="1" applyBorder="1" applyAlignment="1">
      <alignment vertical="center"/>
      <protection/>
    </xf>
    <xf numFmtId="184" fontId="0" fillId="0" borderId="29" xfId="61" applyNumberFormat="1" applyBorder="1" applyAlignment="1">
      <alignment vertical="center"/>
      <protection/>
    </xf>
    <xf numFmtId="184" fontId="0" fillId="0" borderId="54" xfId="61" applyNumberFormat="1" applyBorder="1" applyAlignment="1">
      <alignment vertical="center"/>
      <protection/>
    </xf>
    <xf numFmtId="184" fontId="0" fillId="0" borderId="29" xfId="61" applyNumberFormat="1" applyFill="1" applyBorder="1" applyAlignment="1">
      <alignment vertical="center"/>
      <protection/>
    </xf>
    <xf numFmtId="184" fontId="0" fillId="0" borderId="54" xfId="61" applyNumberFormat="1" applyFill="1" applyBorder="1" applyAlignment="1">
      <alignment vertical="center"/>
      <protection/>
    </xf>
    <xf numFmtId="184" fontId="0" fillId="0" borderId="17" xfId="61" applyNumberFormat="1" applyBorder="1" applyAlignment="1">
      <alignment vertical="center"/>
      <protection/>
    </xf>
    <xf numFmtId="184" fontId="0" fillId="0" borderId="10" xfId="61" applyNumberFormat="1" applyBorder="1" applyAlignment="1">
      <alignment vertical="center"/>
      <protection/>
    </xf>
    <xf numFmtId="184" fontId="0" fillId="0" borderId="35" xfId="61" applyNumberFormat="1" applyBorder="1" applyAlignment="1">
      <alignment vertical="center"/>
      <protection/>
    </xf>
    <xf numFmtId="184" fontId="0" fillId="0" borderId="10" xfId="61" applyNumberFormat="1" applyFill="1" applyBorder="1" applyAlignment="1">
      <alignment vertical="center"/>
      <protection/>
    </xf>
    <xf numFmtId="184" fontId="0" fillId="0" borderId="35" xfId="61" applyNumberFormat="1" applyFill="1" applyBorder="1" applyAlignment="1">
      <alignment vertical="center"/>
      <protection/>
    </xf>
    <xf numFmtId="185" fontId="0" fillId="0" borderId="19" xfId="61" applyNumberFormat="1" applyBorder="1" applyAlignment="1">
      <alignment vertical="center"/>
      <protection/>
    </xf>
    <xf numFmtId="185" fontId="0" fillId="0" borderId="11" xfId="61" applyNumberFormat="1" applyBorder="1" applyAlignment="1">
      <alignment vertical="center"/>
      <protection/>
    </xf>
    <xf numFmtId="185" fontId="0" fillId="0" borderId="55" xfId="61" applyNumberFormat="1" applyBorder="1" applyAlignment="1">
      <alignment vertical="center"/>
      <protection/>
    </xf>
    <xf numFmtId="185" fontId="0" fillId="0" borderId="11" xfId="61" applyNumberFormat="1" applyFill="1" applyBorder="1" applyAlignment="1">
      <alignment vertical="center"/>
      <protection/>
    </xf>
    <xf numFmtId="185" fontId="0" fillId="0" borderId="55" xfId="61" applyNumberFormat="1" applyFill="1" applyBorder="1" applyAlignment="1">
      <alignment vertical="center"/>
      <protection/>
    </xf>
    <xf numFmtId="185" fontId="0" fillId="0" borderId="16" xfId="61" applyNumberFormat="1" applyFill="1" applyBorder="1" applyAlignment="1">
      <alignment vertical="center"/>
      <protection/>
    </xf>
    <xf numFmtId="0" fontId="5" fillId="0" borderId="0" xfId="62" applyFont="1">
      <alignment/>
      <protection/>
    </xf>
    <xf numFmtId="0" fontId="0" fillId="0" borderId="0" xfId="62">
      <alignment/>
      <protection/>
    </xf>
    <xf numFmtId="0" fontId="0" fillId="0" borderId="0" xfId="62" applyAlignment="1">
      <alignment horizontal="right"/>
      <protection/>
    </xf>
    <xf numFmtId="0" fontId="0" fillId="0" borderId="56" xfId="62" applyBorder="1" applyAlignment="1">
      <alignment horizontal="center" vertical="center"/>
      <protection/>
    </xf>
    <xf numFmtId="0" fontId="0" fillId="0" borderId="48" xfId="62" applyBorder="1" applyAlignment="1">
      <alignment horizontal="center" vertical="center"/>
      <protection/>
    </xf>
    <xf numFmtId="0" fontId="0" fillId="0" borderId="14" xfId="62" applyBorder="1" applyAlignment="1">
      <alignment horizontal="center" vertical="center"/>
      <protection/>
    </xf>
    <xf numFmtId="0" fontId="0" fillId="0" borderId="57" xfId="62" applyBorder="1" applyAlignment="1">
      <alignment horizontal="center" vertical="center"/>
      <protection/>
    </xf>
    <xf numFmtId="0" fontId="0" fillId="0" borderId="29" xfId="62" applyBorder="1" applyAlignment="1">
      <alignment horizontal="center" vertical="center"/>
      <protection/>
    </xf>
    <xf numFmtId="0" fontId="0" fillId="0" borderId="29" xfId="62" applyBorder="1" applyAlignment="1">
      <alignment horizontal="center" vertical="top"/>
      <protection/>
    </xf>
    <xf numFmtId="0" fontId="0" fillId="0" borderId="51" xfId="62" applyBorder="1" applyAlignment="1">
      <alignment horizontal="center" vertical="top"/>
      <protection/>
    </xf>
    <xf numFmtId="176" fontId="0" fillId="0" borderId="58" xfId="62" applyNumberFormat="1" applyBorder="1" applyAlignment="1">
      <alignment vertical="center"/>
      <protection/>
    </xf>
    <xf numFmtId="176" fontId="0" fillId="0" borderId="48" xfId="62" applyNumberFormat="1" applyBorder="1" applyAlignment="1">
      <alignment vertical="center"/>
      <protection/>
    </xf>
    <xf numFmtId="183" fontId="0" fillId="0" borderId="48" xfId="62" applyNumberFormat="1" applyBorder="1" applyAlignment="1">
      <alignment vertical="center"/>
      <protection/>
    </xf>
    <xf numFmtId="183" fontId="0" fillId="0" borderId="57" xfId="62" applyNumberFormat="1" applyBorder="1" applyAlignment="1">
      <alignment vertical="center"/>
      <protection/>
    </xf>
    <xf numFmtId="176" fontId="0" fillId="0" borderId="50" xfId="62" applyNumberFormat="1" applyBorder="1" applyAlignment="1">
      <alignment vertical="center"/>
      <protection/>
    </xf>
    <xf numFmtId="176" fontId="0" fillId="0" borderId="14" xfId="62" applyNumberFormat="1" applyBorder="1" applyAlignment="1">
      <alignment vertical="center"/>
      <protection/>
    </xf>
    <xf numFmtId="183" fontId="0" fillId="0" borderId="14" xfId="62" applyNumberFormat="1" applyBorder="1" applyAlignment="1">
      <alignment vertical="center"/>
      <protection/>
    </xf>
    <xf numFmtId="183" fontId="0" fillId="0" borderId="40" xfId="62" applyNumberFormat="1" applyBorder="1" applyAlignment="1">
      <alignment vertical="center"/>
      <protection/>
    </xf>
    <xf numFmtId="0" fontId="0" fillId="0" borderId="10" xfId="62" applyBorder="1" applyAlignment="1">
      <alignment horizontal="center" vertical="center"/>
      <protection/>
    </xf>
    <xf numFmtId="176" fontId="0" fillId="0" borderId="53" xfId="62" applyNumberFormat="1" applyBorder="1" applyAlignment="1">
      <alignment vertical="center"/>
      <protection/>
    </xf>
    <xf numFmtId="176" fontId="0" fillId="0" borderId="10" xfId="62" applyNumberFormat="1" applyBorder="1" applyAlignment="1">
      <alignment vertical="center"/>
      <protection/>
    </xf>
    <xf numFmtId="183" fontId="0" fillId="0" borderId="10" xfId="62" applyNumberFormat="1" applyBorder="1" applyAlignment="1">
      <alignment vertical="center"/>
      <protection/>
    </xf>
    <xf numFmtId="183" fontId="0" fillId="0" borderId="37" xfId="62" applyNumberFormat="1" applyBorder="1" applyAlignment="1">
      <alignment vertical="center"/>
      <protection/>
    </xf>
    <xf numFmtId="177" fontId="0" fillId="0" borderId="14" xfId="62" applyNumberFormat="1" applyBorder="1" applyAlignment="1">
      <alignment vertical="center"/>
      <protection/>
    </xf>
    <xf numFmtId="177" fontId="0" fillId="0" borderId="40" xfId="62" applyNumberFormat="1" applyBorder="1" applyAlignment="1">
      <alignment vertical="center"/>
      <protection/>
    </xf>
    <xf numFmtId="177" fontId="0" fillId="0" borderId="48" xfId="62" applyNumberFormat="1" applyBorder="1" applyAlignment="1">
      <alignment vertical="center"/>
      <protection/>
    </xf>
    <xf numFmtId="177" fontId="0" fillId="0" borderId="57" xfId="62" applyNumberFormat="1" applyBorder="1" applyAlignment="1">
      <alignment vertical="center"/>
      <protection/>
    </xf>
    <xf numFmtId="177" fontId="0" fillId="0" borderId="10" xfId="62" applyNumberFormat="1" applyBorder="1" applyAlignment="1">
      <alignment vertical="center"/>
      <protection/>
    </xf>
    <xf numFmtId="177" fontId="0" fillId="0" borderId="37" xfId="62" applyNumberFormat="1" applyBorder="1" applyAlignment="1">
      <alignment vertical="center"/>
      <protection/>
    </xf>
    <xf numFmtId="0" fontId="0" fillId="0" borderId="30" xfId="62" applyBorder="1" applyAlignment="1">
      <alignment horizontal="center" vertical="center"/>
      <protection/>
    </xf>
    <xf numFmtId="176" fontId="0" fillId="0" borderId="49" xfId="62" applyNumberFormat="1" applyBorder="1" applyAlignment="1">
      <alignment vertical="center"/>
      <protection/>
    </xf>
    <xf numFmtId="176" fontId="0" fillId="0" borderId="35" xfId="62" applyNumberFormat="1" applyBorder="1" applyAlignment="1">
      <alignment vertical="center"/>
      <protection/>
    </xf>
    <xf numFmtId="186" fontId="0" fillId="0" borderId="48" xfId="62" applyNumberFormat="1" applyBorder="1" applyAlignment="1">
      <alignment vertical="center"/>
      <protection/>
    </xf>
    <xf numFmtId="186" fontId="0" fillId="0" borderId="57" xfId="62" applyNumberFormat="1" applyBorder="1" applyAlignment="1">
      <alignment vertical="center"/>
      <protection/>
    </xf>
    <xf numFmtId="0" fontId="0" fillId="0" borderId="24" xfId="62" applyBorder="1" applyAlignment="1">
      <alignment horizontal="center" vertical="center"/>
      <protection/>
    </xf>
    <xf numFmtId="186" fontId="0" fillId="0" borderId="14" xfId="62" applyNumberFormat="1" applyBorder="1" applyAlignment="1">
      <alignment vertical="center"/>
      <protection/>
    </xf>
    <xf numFmtId="186" fontId="0" fillId="0" borderId="40" xfId="62" applyNumberFormat="1" applyBorder="1" applyAlignment="1">
      <alignment vertical="center"/>
      <protection/>
    </xf>
    <xf numFmtId="0" fontId="0" fillId="0" borderId="59" xfId="62" applyBorder="1" applyAlignment="1">
      <alignment horizontal="center" vertical="center"/>
      <protection/>
    </xf>
    <xf numFmtId="176" fontId="0" fillId="0" borderId="50" xfId="62" applyNumberFormat="1" applyFill="1" applyBorder="1" applyAlignment="1">
      <alignment vertical="center"/>
      <protection/>
    </xf>
    <xf numFmtId="176" fontId="0" fillId="0" borderId="14" xfId="62" applyNumberFormat="1" applyFill="1" applyBorder="1" applyAlignment="1">
      <alignment vertical="center"/>
      <protection/>
    </xf>
    <xf numFmtId="186" fontId="0" fillId="0" borderId="14" xfId="62" applyNumberFormat="1" applyFill="1" applyBorder="1" applyAlignment="1">
      <alignment vertical="center"/>
      <protection/>
    </xf>
    <xf numFmtId="186" fontId="0" fillId="0" borderId="40" xfId="62" applyNumberFormat="1" applyFill="1" applyBorder="1" applyAlignment="1">
      <alignment vertical="center"/>
      <protection/>
    </xf>
    <xf numFmtId="176" fontId="0" fillId="0" borderId="53" xfId="62" applyNumberFormat="1" applyFill="1" applyBorder="1" applyAlignment="1">
      <alignment vertical="center"/>
      <protection/>
    </xf>
    <xf numFmtId="176" fontId="0" fillId="0" borderId="10" xfId="62" applyNumberFormat="1" applyFill="1" applyBorder="1" applyAlignment="1">
      <alignment vertical="center"/>
      <protection/>
    </xf>
    <xf numFmtId="183" fontId="0" fillId="0" borderId="10" xfId="62" applyNumberFormat="1" applyFill="1" applyBorder="1" applyAlignment="1">
      <alignment vertical="center"/>
      <protection/>
    </xf>
    <xf numFmtId="183" fontId="0" fillId="0" borderId="37" xfId="62" applyNumberFormat="1" applyFill="1" applyBorder="1" applyAlignment="1">
      <alignment vertical="center"/>
      <protection/>
    </xf>
    <xf numFmtId="183" fontId="0" fillId="0" borderId="14" xfId="62" applyNumberFormat="1" applyFill="1" applyBorder="1" applyAlignment="1">
      <alignment vertical="center"/>
      <protection/>
    </xf>
    <xf numFmtId="183" fontId="0" fillId="0" borderId="40" xfId="62" applyNumberFormat="1" applyFill="1" applyBorder="1" applyAlignment="1">
      <alignment vertical="center"/>
      <protection/>
    </xf>
    <xf numFmtId="176" fontId="0" fillId="0" borderId="60" xfId="62" applyNumberFormat="1" applyFill="1" applyBorder="1" applyAlignment="1">
      <alignment vertical="center"/>
      <protection/>
    </xf>
    <xf numFmtId="176" fontId="0" fillId="0" borderId="29" xfId="62" applyNumberFormat="1" applyFill="1" applyBorder="1" applyAlignment="1">
      <alignment vertical="center"/>
      <protection/>
    </xf>
    <xf numFmtId="183" fontId="0" fillId="0" borderId="29" xfId="62" applyNumberFormat="1" applyFill="1" applyBorder="1" applyAlignment="1">
      <alignment vertical="center"/>
      <protection/>
    </xf>
    <xf numFmtId="183" fontId="0" fillId="0" borderId="51" xfId="62" applyNumberFormat="1" applyFill="1" applyBorder="1" applyAlignment="1">
      <alignment vertic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176" fontId="0" fillId="0" borderId="50" xfId="62" applyNumberFormat="1" applyFont="1" applyFill="1" applyBorder="1" applyAlignment="1">
      <alignment vertical="center"/>
      <protection/>
    </xf>
    <xf numFmtId="176" fontId="0" fillId="0" borderId="14" xfId="62" applyNumberFormat="1" applyFont="1" applyFill="1" applyBorder="1" applyAlignment="1">
      <alignment vertical="center"/>
      <protection/>
    </xf>
    <xf numFmtId="177" fontId="0" fillId="0" borderId="14" xfId="62" applyNumberFormat="1" applyFont="1" applyFill="1" applyBorder="1" applyAlignment="1">
      <alignment vertical="center"/>
      <protection/>
    </xf>
    <xf numFmtId="186" fontId="0" fillId="0" borderId="40" xfId="62" applyNumberFormat="1" applyFont="1" applyFill="1" applyBorder="1" applyAlignment="1">
      <alignment vertical="center"/>
      <protection/>
    </xf>
    <xf numFmtId="186" fontId="0" fillId="0" borderId="14" xfId="62" applyNumberFormat="1" applyFont="1" applyFill="1" applyBorder="1" applyAlignment="1">
      <alignment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30" xfId="62" applyFont="1" applyFill="1" applyBorder="1">
      <alignment/>
      <protection/>
    </xf>
    <xf numFmtId="0" fontId="0" fillId="0" borderId="25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176" fontId="0" fillId="0" borderId="61" xfId="62" applyNumberFormat="1" applyFont="1" applyFill="1" applyBorder="1" applyAlignment="1">
      <alignment vertical="center"/>
      <protection/>
    </xf>
    <xf numFmtId="176" fontId="0" fillId="0" borderId="11" xfId="62" applyNumberFormat="1" applyFont="1" applyFill="1" applyBorder="1" applyAlignment="1">
      <alignment vertical="center"/>
      <protection/>
    </xf>
    <xf numFmtId="183" fontId="0" fillId="0" borderId="11" xfId="62" applyNumberFormat="1" applyFont="1" applyFill="1" applyBorder="1" applyAlignment="1">
      <alignment vertical="center"/>
      <protection/>
    </xf>
    <xf numFmtId="183" fontId="0" fillId="0" borderId="62" xfId="62" applyNumberFormat="1" applyFont="1" applyFill="1" applyBorder="1" applyAlignment="1">
      <alignment vertical="center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Alignment="1">
      <alignment horizontal="right"/>
      <protection/>
    </xf>
    <xf numFmtId="0" fontId="0" fillId="0" borderId="56" xfId="61" applyFont="1" applyBorder="1" applyAlignment="1">
      <alignment horizontal="center" vertical="center"/>
      <protection/>
    </xf>
    <xf numFmtId="0" fontId="8" fillId="0" borderId="44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8" fillId="0" borderId="48" xfId="61" applyFont="1" applyBorder="1" applyAlignment="1">
      <alignment horizontal="center" vertical="center"/>
      <protection/>
    </xf>
    <xf numFmtId="0" fontId="8" fillId="0" borderId="57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8" fillId="0" borderId="29" xfId="61" applyFont="1" applyBorder="1" applyAlignment="1">
      <alignment horizontal="center" vertical="center"/>
      <protection/>
    </xf>
    <xf numFmtId="0" fontId="8" fillId="0" borderId="51" xfId="61" applyFont="1" applyBorder="1" applyAlignment="1">
      <alignment horizontal="center" vertical="center"/>
      <protection/>
    </xf>
    <xf numFmtId="0" fontId="0" fillId="0" borderId="48" xfId="61" applyFont="1" applyBorder="1" applyAlignment="1">
      <alignment horizontal="center" vertical="center"/>
      <protection/>
    </xf>
    <xf numFmtId="176" fontId="0" fillId="0" borderId="48" xfId="61" applyNumberFormat="1" applyFont="1" applyBorder="1" applyAlignment="1">
      <alignment vertical="center"/>
      <protection/>
    </xf>
    <xf numFmtId="177" fontId="0" fillId="0" borderId="48" xfId="61" applyNumberFormat="1" applyFont="1" applyBorder="1" applyAlignment="1">
      <alignment vertical="center"/>
      <protection/>
    </xf>
    <xf numFmtId="177" fontId="0" fillId="0" borderId="57" xfId="61" applyNumberFormat="1" applyFont="1" applyBorder="1" applyAlignment="1">
      <alignment vertical="center"/>
      <protection/>
    </xf>
    <xf numFmtId="176" fontId="0" fillId="0" borderId="29" xfId="61" applyNumberFormat="1" applyFont="1" applyBorder="1" applyAlignment="1">
      <alignment vertical="center"/>
      <protection/>
    </xf>
    <xf numFmtId="177" fontId="0" fillId="0" borderId="29" xfId="61" applyNumberFormat="1" applyFont="1" applyBorder="1" applyAlignment="1">
      <alignment vertical="center"/>
      <protection/>
    </xf>
    <xf numFmtId="177" fontId="0" fillId="0" borderId="51" xfId="61" applyNumberFormat="1" applyFont="1" applyBorder="1" applyAlignment="1">
      <alignment vertical="center"/>
      <protection/>
    </xf>
    <xf numFmtId="176" fontId="0" fillId="0" borderId="10" xfId="61" applyNumberFormat="1" applyFont="1" applyBorder="1" applyAlignment="1">
      <alignment vertical="center"/>
      <protection/>
    </xf>
    <xf numFmtId="177" fontId="0" fillId="0" borderId="10" xfId="61" applyNumberFormat="1" applyFont="1" applyBorder="1" applyAlignment="1">
      <alignment vertical="center"/>
      <protection/>
    </xf>
    <xf numFmtId="177" fontId="0" fillId="0" borderId="37" xfId="61" applyNumberFormat="1" applyFont="1" applyBorder="1" applyAlignment="1">
      <alignment vertical="center"/>
      <protection/>
    </xf>
    <xf numFmtId="176" fontId="0" fillId="0" borderId="29" xfId="61" applyNumberFormat="1" applyFont="1" applyFill="1" applyBorder="1" applyAlignment="1">
      <alignment vertical="center"/>
      <protection/>
    </xf>
    <xf numFmtId="176" fontId="0" fillId="0" borderId="48" xfId="61" applyNumberFormat="1" applyFont="1" applyFill="1" applyBorder="1" applyAlignment="1">
      <alignment vertical="center"/>
      <protection/>
    </xf>
    <xf numFmtId="177" fontId="0" fillId="0" borderId="29" xfId="61" applyNumberFormat="1" applyFont="1" applyFill="1" applyBorder="1" applyAlignment="1">
      <alignment vertical="center"/>
      <protection/>
    </xf>
    <xf numFmtId="177" fontId="0" fillId="0" borderId="51" xfId="61" applyNumberFormat="1" applyFont="1" applyFill="1" applyBorder="1" applyAlignment="1">
      <alignment vertical="center"/>
      <protection/>
    </xf>
    <xf numFmtId="177" fontId="0" fillId="0" borderId="48" xfId="61" applyNumberFormat="1" applyFont="1" applyFill="1" applyBorder="1" applyAlignment="1">
      <alignment vertical="center"/>
      <protection/>
    </xf>
    <xf numFmtId="177" fontId="0" fillId="0" borderId="57" xfId="61" applyNumberFormat="1" applyFont="1" applyFill="1" applyBorder="1" applyAlignment="1">
      <alignment vertical="center"/>
      <protection/>
    </xf>
    <xf numFmtId="176" fontId="0" fillId="0" borderId="14" xfId="61" applyNumberFormat="1" applyFont="1" applyFill="1" applyBorder="1" applyAlignment="1">
      <alignment vertical="center"/>
      <protection/>
    </xf>
    <xf numFmtId="177" fontId="0" fillId="0" borderId="14" xfId="61" applyNumberFormat="1" applyFont="1" applyFill="1" applyBorder="1" applyAlignment="1">
      <alignment vertical="center"/>
      <protection/>
    </xf>
    <xf numFmtId="177" fontId="0" fillId="0" borderId="40" xfId="61" applyNumberFormat="1" applyFont="1" applyFill="1" applyBorder="1" applyAlignment="1">
      <alignment vertical="center"/>
      <protection/>
    </xf>
    <xf numFmtId="177" fontId="0" fillId="0" borderId="10" xfId="61" applyNumberFormat="1" applyFont="1" applyFill="1" applyBorder="1" applyAlignment="1">
      <alignment vertical="center"/>
      <protection/>
    </xf>
    <xf numFmtId="177" fontId="0" fillId="0" borderId="37" xfId="61" applyNumberFormat="1" applyFont="1" applyFill="1" applyBorder="1" applyAlignment="1">
      <alignment vertical="center"/>
      <protection/>
    </xf>
    <xf numFmtId="0" fontId="0" fillId="0" borderId="48" xfId="61" applyFont="1" applyBorder="1" applyAlignment="1">
      <alignment vertical="center"/>
      <protection/>
    </xf>
    <xf numFmtId="176" fontId="0" fillId="0" borderId="48" xfId="61" applyNumberFormat="1" applyFont="1" applyFill="1" applyBorder="1" applyAlignment="1">
      <alignment vertical="center"/>
      <protection/>
    </xf>
    <xf numFmtId="0" fontId="0" fillId="0" borderId="14" xfId="61" applyFont="1" applyBorder="1" applyAlignment="1">
      <alignment vertical="center"/>
      <protection/>
    </xf>
    <xf numFmtId="176" fontId="0" fillId="0" borderId="14" xfId="61" applyNumberFormat="1" applyFont="1" applyFill="1" applyBorder="1" applyAlignment="1">
      <alignment vertical="center"/>
      <protection/>
    </xf>
    <xf numFmtId="176" fontId="0" fillId="0" borderId="21" xfId="61" applyNumberFormat="1" applyFont="1" applyFill="1" applyBorder="1" applyAlignment="1">
      <alignment vertical="center"/>
      <protection/>
    </xf>
    <xf numFmtId="0" fontId="0" fillId="0" borderId="29" xfId="61" applyFont="1" applyBorder="1" applyAlignment="1">
      <alignment vertical="center"/>
      <protection/>
    </xf>
    <xf numFmtId="176" fontId="0" fillId="0" borderId="29" xfId="61" applyNumberFormat="1" applyFont="1" applyFill="1" applyBorder="1" applyAlignment="1">
      <alignment vertical="center"/>
      <protection/>
    </xf>
    <xf numFmtId="176" fontId="0" fillId="0" borderId="10" xfId="61" applyNumberFormat="1" applyFont="1" applyFill="1" applyBorder="1" applyAlignment="1">
      <alignment vertical="center"/>
      <protection/>
    </xf>
    <xf numFmtId="176" fontId="0" fillId="0" borderId="10" xfId="61" applyNumberFormat="1" applyFont="1" applyFill="1" applyBorder="1" applyAlignment="1">
      <alignment vertical="center"/>
      <protection/>
    </xf>
    <xf numFmtId="183" fontId="0" fillId="0" borderId="10" xfId="61" applyNumberFormat="1" applyFont="1" applyFill="1" applyBorder="1" applyAlignment="1">
      <alignment vertical="center"/>
      <protection/>
    </xf>
    <xf numFmtId="183" fontId="0" fillId="0" borderId="37" xfId="61" applyNumberFormat="1" applyFont="1" applyFill="1" applyBorder="1" applyAlignment="1">
      <alignment vertical="center"/>
      <protection/>
    </xf>
    <xf numFmtId="0" fontId="0" fillId="0" borderId="48" xfId="61" applyFont="1" applyBorder="1" applyAlignment="1">
      <alignment horizontal="left" vertical="center" shrinkToFit="1"/>
      <protection/>
    </xf>
    <xf numFmtId="0" fontId="0" fillId="0" borderId="14" xfId="61" applyFont="1" applyBorder="1" applyAlignment="1">
      <alignment horizontal="left" vertical="center"/>
      <protection/>
    </xf>
    <xf numFmtId="0" fontId="0" fillId="0" borderId="29" xfId="61" applyFont="1" applyBorder="1" applyAlignment="1">
      <alignment horizontal="left" vertical="center"/>
      <protection/>
    </xf>
    <xf numFmtId="176" fontId="0" fillId="0" borderId="11" xfId="61" applyNumberFormat="1" applyFont="1" applyFill="1" applyBorder="1" applyAlignment="1">
      <alignment vertical="center"/>
      <protection/>
    </xf>
    <xf numFmtId="177" fontId="0" fillId="0" borderId="11" xfId="61" applyNumberFormat="1" applyFont="1" applyFill="1" applyBorder="1" applyAlignment="1">
      <alignment vertical="center"/>
      <protection/>
    </xf>
    <xf numFmtId="177" fontId="0" fillId="0" borderId="62" xfId="61" applyNumberFormat="1" applyFont="1" applyFill="1" applyBorder="1" applyAlignment="1">
      <alignment vertical="center"/>
      <protection/>
    </xf>
    <xf numFmtId="0" fontId="0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5" fillId="0" borderId="0" xfId="63" applyFont="1">
      <alignment/>
      <protection/>
    </xf>
    <xf numFmtId="0" fontId="0" fillId="0" borderId="0" xfId="63" applyFont="1">
      <alignment/>
      <protection/>
    </xf>
    <xf numFmtId="0" fontId="4" fillId="0" borderId="0" xfId="63" applyFont="1">
      <alignment/>
      <protection/>
    </xf>
    <xf numFmtId="0" fontId="0" fillId="0" borderId="0" xfId="63" applyFont="1" applyAlignment="1">
      <alignment horizontal="right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37" xfId="63" applyFont="1" applyBorder="1" applyAlignment="1">
      <alignment horizontal="center" vertical="center"/>
      <protection/>
    </xf>
    <xf numFmtId="0" fontId="0" fillId="0" borderId="48" xfId="63" applyFont="1" applyBorder="1" applyAlignment="1">
      <alignment horizontal="center" vertical="center"/>
      <protection/>
    </xf>
    <xf numFmtId="176" fontId="0" fillId="0" borderId="48" xfId="63" applyNumberFormat="1" applyFont="1" applyBorder="1" applyAlignment="1">
      <alignment vertical="center"/>
      <protection/>
    </xf>
    <xf numFmtId="177" fontId="0" fillId="0" borderId="48" xfId="63" applyNumberFormat="1" applyFont="1" applyBorder="1" applyAlignment="1">
      <alignment vertical="center"/>
      <protection/>
    </xf>
    <xf numFmtId="177" fontId="0" fillId="0" borderId="57" xfId="63" applyNumberFormat="1" applyFont="1" applyBorder="1" applyAlignment="1">
      <alignment vertical="center"/>
      <protection/>
    </xf>
    <xf numFmtId="0" fontId="0" fillId="0" borderId="14" xfId="63" applyFont="1" applyBorder="1" applyAlignment="1">
      <alignment horizontal="center" vertical="center"/>
      <protection/>
    </xf>
    <xf numFmtId="176" fontId="0" fillId="0" borderId="14" xfId="63" applyNumberFormat="1" applyFont="1" applyBorder="1" applyAlignment="1">
      <alignment vertical="center"/>
      <protection/>
    </xf>
    <xf numFmtId="177" fontId="0" fillId="0" borderId="14" xfId="63" applyNumberFormat="1" applyFont="1" applyBorder="1" applyAlignment="1">
      <alignment vertical="center"/>
      <protection/>
    </xf>
    <xf numFmtId="177" fontId="0" fillId="0" borderId="40" xfId="63" applyNumberFormat="1" applyFont="1" applyBorder="1" applyAlignment="1">
      <alignment vertical="center"/>
      <protection/>
    </xf>
    <xf numFmtId="0" fontId="0" fillId="0" borderId="29" xfId="63" applyFont="1" applyBorder="1" applyAlignment="1">
      <alignment horizontal="center" vertical="center"/>
      <protection/>
    </xf>
    <xf numFmtId="176" fontId="0" fillId="0" borderId="29" xfId="63" applyNumberFormat="1" applyFont="1" applyBorder="1" applyAlignment="1">
      <alignment vertical="center"/>
      <protection/>
    </xf>
    <xf numFmtId="177" fontId="0" fillId="0" borderId="29" xfId="63" applyNumberFormat="1" applyFont="1" applyBorder="1" applyAlignment="1">
      <alignment vertical="center"/>
      <protection/>
    </xf>
    <xf numFmtId="177" fontId="0" fillId="0" borderId="51" xfId="63" applyNumberFormat="1" applyFont="1" applyBorder="1" applyAlignment="1">
      <alignment vertical="center"/>
      <protection/>
    </xf>
    <xf numFmtId="176" fontId="0" fillId="0" borderId="10" xfId="63" applyNumberFormat="1" applyFont="1" applyBorder="1" applyAlignment="1">
      <alignment vertical="center"/>
      <protection/>
    </xf>
    <xf numFmtId="177" fontId="0" fillId="0" borderId="10" xfId="63" applyNumberFormat="1" applyFont="1" applyBorder="1" applyAlignment="1">
      <alignment vertical="center"/>
      <protection/>
    </xf>
    <xf numFmtId="177" fontId="0" fillId="0" borderId="37" xfId="63" applyNumberFormat="1" applyFont="1" applyBorder="1" applyAlignment="1">
      <alignment vertical="center"/>
      <protection/>
    </xf>
    <xf numFmtId="0" fontId="0" fillId="0" borderId="63" xfId="63" applyFont="1" applyBorder="1" applyAlignment="1">
      <alignment horizontal="center" vertical="center"/>
      <protection/>
    </xf>
    <xf numFmtId="0" fontId="0" fillId="0" borderId="29" xfId="63" applyFont="1" applyFill="1" applyBorder="1" applyAlignment="1">
      <alignment horizontal="center" vertical="center"/>
      <protection/>
    </xf>
    <xf numFmtId="176" fontId="0" fillId="0" borderId="29" xfId="63" applyNumberFormat="1" applyFont="1" applyFill="1" applyBorder="1" applyAlignment="1">
      <alignment vertical="center"/>
      <protection/>
    </xf>
    <xf numFmtId="177" fontId="0" fillId="0" borderId="29" xfId="63" applyNumberFormat="1" applyFont="1" applyFill="1" applyBorder="1" applyAlignment="1">
      <alignment vertical="center"/>
      <protection/>
    </xf>
    <xf numFmtId="177" fontId="0" fillId="0" borderId="51" xfId="63" applyNumberFormat="1" applyFont="1" applyFill="1" applyBorder="1" applyAlignment="1">
      <alignment vertical="center"/>
      <protection/>
    </xf>
    <xf numFmtId="0" fontId="0" fillId="0" borderId="48" xfId="63" applyFont="1" applyFill="1" applyBorder="1" applyAlignment="1">
      <alignment horizontal="center" vertical="center"/>
      <protection/>
    </xf>
    <xf numFmtId="176" fontId="0" fillId="0" borderId="48" xfId="63" applyNumberFormat="1" applyFont="1" applyFill="1" applyBorder="1" applyAlignment="1">
      <alignment vertical="center"/>
      <protection/>
    </xf>
    <xf numFmtId="177" fontId="0" fillId="0" borderId="48" xfId="63" applyNumberFormat="1" applyFont="1" applyFill="1" applyBorder="1" applyAlignment="1">
      <alignment vertical="center"/>
      <protection/>
    </xf>
    <xf numFmtId="177" fontId="0" fillId="0" borderId="57" xfId="63" applyNumberFormat="1" applyFont="1" applyFill="1" applyBorder="1" applyAlignment="1">
      <alignment vertical="center"/>
      <protection/>
    </xf>
    <xf numFmtId="0" fontId="0" fillId="0" borderId="14" xfId="63" applyFont="1" applyFill="1" applyBorder="1" applyAlignment="1">
      <alignment horizontal="center" vertical="center"/>
      <protection/>
    </xf>
    <xf numFmtId="176" fontId="0" fillId="0" borderId="14" xfId="63" applyNumberFormat="1" applyFont="1" applyFill="1" applyBorder="1" applyAlignment="1">
      <alignment vertical="center"/>
      <protection/>
    </xf>
    <xf numFmtId="177" fontId="0" fillId="0" borderId="14" xfId="63" applyNumberFormat="1" applyFont="1" applyFill="1" applyBorder="1" applyAlignment="1">
      <alignment vertical="center"/>
      <protection/>
    </xf>
    <xf numFmtId="177" fontId="0" fillId="0" borderId="40" xfId="63" applyNumberFormat="1" applyFont="1" applyFill="1" applyBorder="1" applyAlignment="1">
      <alignment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176" fontId="0" fillId="0" borderId="10" xfId="63" applyNumberFormat="1" applyFont="1" applyFill="1" applyBorder="1" applyAlignment="1">
      <alignment vertical="center"/>
      <protection/>
    </xf>
    <xf numFmtId="177" fontId="0" fillId="0" borderId="10" xfId="63" applyNumberFormat="1" applyFont="1" applyFill="1" applyBorder="1" applyAlignment="1">
      <alignment vertical="center"/>
      <protection/>
    </xf>
    <xf numFmtId="177" fontId="0" fillId="0" borderId="37" xfId="63" applyNumberFormat="1" applyFont="1" applyFill="1" applyBorder="1" applyAlignment="1">
      <alignment vertical="center"/>
      <protection/>
    </xf>
    <xf numFmtId="176" fontId="0" fillId="0" borderId="29" xfId="63" applyNumberFormat="1" applyFont="1" applyFill="1" applyBorder="1" applyAlignment="1">
      <alignment horizontal="center" vertical="center"/>
      <protection/>
    </xf>
    <xf numFmtId="176" fontId="0" fillId="0" borderId="29" xfId="63" applyNumberFormat="1" applyFont="1" applyFill="1" applyBorder="1" applyAlignment="1">
      <alignment horizontal="right" vertical="center"/>
      <protection/>
    </xf>
    <xf numFmtId="176" fontId="0" fillId="0" borderId="51" xfId="63" applyNumberFormat="1" applyFont="1" applyFill="1" applyBorder="1" applyAlignment="1">
      <alignment horizontal="right" vertical="center"/>
      <protection/>
    </xf>
    <xf numFmtId="177" fontId="0" fillId="0" borderId="64" xfId="63" applyNumberFormat="1" applyFont="1" applyFill="1" applyBorder="1" applyAlignment="1">
      <alignment vertical="center"/>
      <protection/>
    </xf>
    <xf numFmtId="176" fontId="0" fillId="0" borderId="14" xfId="63" applyNumberFormat="1" applyFont="1" applyFill="1" applyBorder="1" applyAlignment="1">
      <alignment horizontal="center" vertical="center"/>
      <protection/>
    </xf>
    <xf numFmtId="177" fontId="0" fillId="0" borderId="14" xfId="63" applyNumberFormat="1" applyFont="1" applyFill="1" applyBorder="1" applyAlignment="1">
      <alignment horizontal="right" vertical="center"/>
      <protection/>
    </xf>
    <xf numFmtId="177" fontId="0" fillId="0" borderId="51" xfId="63" applyNumberFormat="1" applyFont="1" applyFill="1" applyBorder="1" applyAlignment="1">
      <alignment horizontal="right" vertical="center"/>
      <protection/>
    </xf>
    <xf numFmtId="177" fontId="0" fillId="0" borderId="29" xfId="63" applyNumberFormat="1" applyFont="1" applyFill="1" applyBorder="1" applyAlignment="1">
      <alignment horizontal="right" vertical="center"/>
      <protection/>
    </xf>
    <xf numFmtId="177" fontId="0" fillId="0" borderId="65" xfId="63" applyNumberFormat="1" applyFont="1" applyFill="1" applyBorder="1" applyAlignment="1">
      <alignment horizontal="right" vertical="center"/>
      <protection/>
    </xf>
    <xf numFmtId="177" fontId="0" fillId="0" borderId="66" xfId="63" applyNumberFormat="1" applyFont="1" applyFill="1" applyBorder="1" applyAlignment="1">
      <alignment vertical="center"/>
      <protection/>
    </xf>
    <xf numFmtId="177" fontId="0" fillId="0" borderId="65" xfId="63" applyNumberFormat="1" applyFont="1" applyFill="1" applyBorder="1" applyAlignment="1">
      <alignment vertical="center"/>
      <protection/>
    </xf>
    <xf numFmtId="0" fontId="0" fillId="0" borderId="16" xfId="63" applyFont="1" applyFill="1" applyBorder="1" applyAlignment="1">
      <alignment horizontal="center" vertical="center"/>
      <protection/>
    </xf>
    <xf numFmtId="176" fontId="0" fillId="0" borderId="16" xfId="63" applyNumberFormat="1" applyFont="1" applyFill="1" applyBorder="1" applyAlignment="1">
      <alignment vertical="center"/>
      <protection/>
    </xf>
    <xf numFmtId="177" fontId="0" fillId="0" borderId="16" xfId="63" applyNumberFormat="1" applyFont="1" applyFill="1" applyBorder="1" applyAlignment="1">
      <alignment vertical="center"/>
      <protection/>
    </xf>
    <xf numFmtId="177" fontId="0" fillId="0" borderId="67" xfId="63" applyNumberFormat="1" applyFont="1" applyFill="1" applyBorder="1" applyAlignment="1">
      <alignment vertical="center"/>
      <protection/>
    </xf>
    <xf numFmtId="0" fontId="0" fillId="0" borderId="0" xfId="63" applyFont="1" applyFill="1">
      <alignment/>
      <protection/>
    </xf>
    <xf numFmtId="176" fontId="0" fillId="0" borderId="0" xfId="63" applyNumberFormat="1" applyFont="1" applyFill="1">
      <alignment/>
      <protection/>
    </xf>
    <xf numFmtId="177" fontId="0" fillId="0" borderId="0" xfId="63" applyNumberFormat="1" applyFont="1" applyFill="1">
      <alignment/>
      <protection/>
    </xf>
    <xf numFmtId="0" fontId="0" fillId="0" borderId="0" xfId="63" applyFont="1" applyFill="1" applyAlignment="1">
      <alignment vertical="top"/>
      <protection/>
    </xf>
    <xf numFmtId="0" fontId="0" fillId="0" borderId="0" xfId="63" applyFont="1" applyFill="1" applyAlignment="1">
      <alignment horizontal="right"/>
      <protection/>
    </xf>
    <xf numFmtId="0" fontId="0" fillId="0" borderId="24" xfId="63" applyFont="1" applyBorder="1" applyAlignment="1">
      <alignment horizontal="center" vertical="center"/>
      <protection/>
    </xf>
    <xf numFmtId="41" fontId="0" fillId="0" borderId="14" xfId="63" applyNumberFormat="1" applyFont="1" applyFill="1" applyBorder="1" applyAlignment="1">
      <alignment horizontal="right" vertical="center"/>
      <protection/>
    </xf>
    <xf numFmtId="0" fontId="0" fillId="0" borderId="59" xfId="63" applyFont="1" applyBorder="1" applyAlignment="1">
      <alignment horizontal="center" vertical="center"/>
      <protection/>
    </xf>
    <xf numFmtId="0" fontId="0" fillId="0" borderId="25" xfId="63" applyFont="1" applyBorder="1" applyAlignment="1">
      <alignment horizontal="center" vertical="center"/>
      <protection/>
    </xf>
    <xf numFmtId="0" fontId="0" fillId="0" borderId="33" xfId="63" applyFont="1" applyFill="1" applyBorder="1" applyAlignment="1">
      <alignment vertical="center"/>
      <protection/>
    </xf>
    <xf numFmtId="0" fontId="9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0" fillId="0" borderId="68" xfId="61" applyFont="1" applyBorder="1" applyAlignment="1">
      <alignment horizontal="center" vertical="center"/>
      <protection/>
    </xf>
    <xf numFmtId="0" fontId="0" fillId="0" borderId="56" xfId="61" applyFont="1" applyBorder="1" applyAlignment="1">
      <alignment horizontal="center" vertical="center"/>
      <protection/>
    </xf>
    <xf numFmtId="0" fontId="0" fillId="0" borderId="43" xfId="61" applyFont="1" applyBorder="1" applyAlignment="1">
      <alignment horizontal="center" vertical="center"/>
      <protection/>
    </xf>
    <xf numFmtId="0" fontId="0" fillId="0" borderId="43" xfId="61" applyFont="1" applyFill="1" applyBorder="1" applyAlignment="1">
      <alignment horizontal="center" vertical="center"/>
      <protection/>
    </xf>
    <xf numFmtId="0" fontId="0" fillId="0" borderId="56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69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42" xfId="61" applyFont="1" applyFill="1" applyBorder="1" applyAlignment="1">
      <alignment horizontal="center" vertical="center"/>
      <protection/>
    </xf>
    <xf numFmtId="0" fontId="0" fillId="0" borderId="70" xfId="61" applyFont="1" applyBorder="1" applyAlignment="1">
      <alignment horizontal="center" vertical="center"/>
      <protection/>
    </xf>
    <xf numFmtId="176" fontId="0" fillId="0" borderId="70" xfId="61" applyNumberFormat="1" applyFont="1" applyBorder="1" applyAlignment="1">
      <alignment vertical="center"/>
      <protection/>
    </xf>
    <xf numFmtId="176" fontId="0" fillId="0" borderId="71" xfId="61" applyNumberFormat="1" applyFont="1" applyBorder="1" applyAlignment="1">
      <alignment vertical="center"/>
      <protection/>
    </xf>
    <xf numFmtId="176" fontId="0" fillId="0" borderId="71" xfId="61" applyNumberFormat="1" applyFont="1" applyFill="1" applyBorder="1" applyAlignment="1">
      <alignment vertical="center"/>
      <protection/>
    </xf>
    <xf numFmtId="176" fontId="0" fillId="0" borderId="70" xfId="61" applyNumberFormat="1" applyFont="1" applyFill="1" applyBorder="1" applyAlignment="1">
      <alignment vertical="center"/>
      <protection/>
    </xf>
    <xf numFmtId="176" fontId="0" fillId="0" borderId="28" xfId="61" applyNumberFormat="1" applyFont="1" applyFill="1" applyBorder="1" applyAlignment="1">
      <alignment vertical="center"/>
      <protection/>
    </xf>
    <xf numFmtId="176" fontId="0" fillId="0" borderId="29" xfId="61" applyNumberFormat="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/>
      <protection/>
    </xf>
    <xf numFmtId="177" fontId="0" fillId="0" borderId="10" xfId="61" applyNumberFormat="1" applyFont="1" applyBorder="1" applyAlignment="1">
      <alignment vertical="center"/>
      <protection/>
    </xf>
    <xf numFmtId="177" fontId="0" fillId="0" borderId="17" xfId="61" applyNumberFormat="1" applyFont="1" applyBorder="1" applyAlignment="1">
      <alignment vertical="center"/>
      <protection/>
    </xf>
    <xf numFmtId="177" fontId="0" fillId="0" borderId="17" xfId="61" applyNumberFormat="1" applyFont="1" applyFill="1" applyBorder="1" applyAlignment="1">
      <alignment vertical="center"/>
      <protection/>
    </xf>
    <xf numFmtId="177" fontId="0" fillId="0" borderId="10" xfId="61" applyNumberFormat="1" applyFont="1" applyFill="1" applyBorder="1" applyAlignment="1">
      <alignment vertical="center"/>
      <protection/>
    </xf>
    <xf numFmtId="183" fontId="0" fillId="0" borderId="10" xfId="61" applyNumberFormat="1" applyFont="1" applyBorder="1" applyAlignment="1">
      <alignment vertical="center"/>
      <protection/>
    </xf>
    <xf numFmtId="183" fontId="0" fillId="0" borderId="35" xfId="61" applyNumberFormat="1" applyFont="1" applyBorder="1" applyAlignment="1">
      <alignment vertical="center"/>
      <protection/>
    </xf>
    <xf numFmtId="183" fontId="0" fillId="0" borderId="17" xfId="61" applyNumberFormat="1" applyFont="1" applyBorder="1" applyAlignment="1">
      <alignment vertical="center"/>
      <protection/>
    </xf>
    <xf numFmtId="183" fontId="0" fillId="0" borderId="37" xfId="61" applyNumberFormat="1" applyFont="1" applyBorder="1" applyAlignment="1">
      <alignment vertical="center"/>
      <protection/>
    </xf>
    <xf numFmtId="176" fontId="0" fillId="0" borderId="10" xfId="61" applyNumberFormat="1" applyFont="1" applyBorder="1" applyAlignment="1">
      <alignment vertical="center"/>
      <protection/>
    </xf>
    <xf numFmtId="176" fontId="0" fillId="0" borderId="17" xfId="61" applyNumberFormat="1" applyFont="1" applyFill="1" applyBorder="1" applyAlignment="1">
      <alignment vertical="center"/>
      <protection/>
    </xf>
    <xf numFmtId="0" fontId="0" fillId="0" borderId="12" xfId="61" applyFont="1" applyBorder="1" applyAlignment="1">
      <alignment horizontal="center" vertical="center"/>
      <protection/>
    </xf>
    <xf numFmtId="177" fontId="0" fillId="0" borderId="12" xfId="61" applyNumberFormat="1" applyFont="1" applyBorder="1" applyAlignment="1">
      <alignment vertical="center"/>
      <protection/>
    </xf>
    <xf numFmtId="177" fontId="0" fillId="0" borderId="18" xfId="61" applyNumberFormat="1" applyFont="1" applyBorder="1" applyAlignment="1">
      <alignment vertical="center"/>
      <protection/>
    </xf>
    <xf numFmtId="177" fontId="0" fillId="0" borderId="18" xfId="61" applyNumberFormat="1" applyFont="1" applyFill="1" applyBorder="1" applyAlignment="1">
      <alignment vertical="center"/>
      <protection/>
    </xf>
    <xf numFmtId="177" fontId="0" fillId="0" borderId="12" xfId="61" applyNumberFormat="1" applyFont="1" applyFill="1" applyBorder="1" applyAlignment="1">
      <alignment vertical="center"/>
      <protection/>
    </xf>
    <xf numFmtId="183" fontId="0" fillId="0" borderId="12" xfId="61" applyNumberFormat="1" applyFont="1" applyBorder="1" applyAlignment="1">
      <alignment vertical="center"/>
      <protection/>
    </xf>
    <xf numFmtId="183" fontId="0" fillId="0" borderId="72" xfId="61" applyNumberFormat="1" applyFont="1" applyBorder="1" applyAlignment="1">
      <alignment vertical="center"/>
      <protection/>
    </xf>
    <xf numFmtId="183" fontId="0" fillId="0" borderId="18" xfId="61" applyNumberFormat="1" applyFont="1" applyBorder="1" applyAlignment="1">
      <alignment vertical="center"/>
      <protection/>
    </xf>
    <xf numFmtId="183" fontId="0" fillId="0" borderId="38" xfId="61" applyNumberFormat="1" applyFont="1" applyBorder="1" applyAlignment="1">
      <alignment vertical="center"/>
      <protection/>
    </xf>
    <xf numFmtId="0" fontId="0" fillId="0" borderId="73" xfId="61" applyFont="1" applyBorder="1" applyAlignment="1">
      <alignment horizontal="center" vertical="center"/>
      <protection/>
    </xf>
    <xf numFmtId="0" fontId="0" fillId="0" borderId="53" xfId="61" applyFont="1" applyBorder="1" applyAlignment="1">
      <alignment horizontal="center" vertical="center"/>
      <protection/>
    </xf>
    <xf numFmtId="0" fontId="0" fillId="0" borderId="74" xfId="61" applyFont="1" applyBorder="1" applyAlignment="1">
      <alignment horizontal="center" vertical="center"/>
      <protection/>
    </xf>
    <xf numFmtId="176" fontId="0" fillId="0" borderId="71" xfId="61" applyNumberFormat="1" applyFont="1" applyBorder="1" applyAlignment="1">
      <alignment horizontal="center" vertical="center"/>
      <protection/>
    </xf>
    <xf numFmtId="176" fontId="0" fillId="0" borderId="71" xfId="61" applyNumberFormat="1" applyFont="1" applyFill="1" applyBorder="1" applyAlignment="1">
      <alignment horizontal="center" vertical="center"/>
      <protection/>
    </xf>
    <xf numFmtId="177" fontId="0" fillId="0" borderId="17" xfId="61" applyNumberFormat="1" applyFont="1" applyBorder="1" applyAlignment="1">
      <alignment horizontal="center" vertical="center"/>
      <protection/>
    </xf>
    <xf numFmtId="177" fontId="0" fillId="0" borderId="17" xfId="61" applyNumberFormat="1" applyFont="1" applyFill="1" applyBorder="1" applyAlignment="1">
      <alignment horizontal="center" vertical="center"/>
      <protection/>
    </xf>
    <xf numFmtId="176" fontId="0" fillId="0" borderId="17" xfId="61" applyNumberFormat="1" applyFont="1" applyBorder="1" applyAlignment="1">
      <alignment horizontal="center" vertical="center"/>
      <protection/>
    </xf>
    <xf numFmtId="176" fontId="0" fillId="0" borderId="17" xfId="61" applyNumberFormat="1" applyFont="1" applyFill="1" applyBorder="1" applyAlignment="1">
      <alignment horizontal="center" vertical="center"/>
      <protection/>
    </xf>
    <xf numFmtId="177" fontId="0" fillId="0" borderId="18" xfId="61" applyNumberFormat="1" applyFont="1" applyBorder="1" applyAlignment="1">
      <alignment horizontal="center" vertical="center"/>
      <protection/>
    </xf>
    <xf numFmtId="177" fontId="0" fillId="0" borderId="18" xfId="61" applyNumberFormat="1" applyFont="1" applyFill="1" applyBorder="1" applyAlignment="1">
      <alignment horizontal="center" vertical="center"/>
      <protection/>
    </xf>
    <xf numFmtId="177" fontId="0" fillId="0" borderId="70" xfId="61" applyNumberFormat="1" applyFont="1" applyBorder="1" applyAlignment="1">
      <alignment vertical="center"/>
      <protection/>
    </xf>
    <xf numFmtId="177" fontId="0" fillId="0" borderId="71" xfId="61" applyNumberFormat="1" applyFont="1" applyBorder="1" applyAlignment="1">
      <alignment horizontal="center" vertical="center"/>
      <protection/>
    </xf>
    <xf numFmtId="177" fontId="0" fillId="0" borderId="71" xfId="61" applyNumberFormat="1" applyFont="1" applyFill="1" applyBorder="1" applyAlignment="1">
      <alignment horizontal="center" vertical="center"/>
      <protection/>
    </xf>
    <xf numFmtId="177" fontId="0" fillId="0" borderId="70" xfId="61" applyNumberFormat="1" applyFont="1" applyFill="1" applyBorder="1" applyAlignment="1">
      <alignment horizontal="center" vertical="center"/>
      <protection/>
    </xf>
    <xf numFmtId="176" fontId="0" fillId="0" borderId="75" xfId="61" applyNumberFormat="1" applyFont="1" applyBorder="1" applyAlignment="1">
      <alignment vertical="center"/>
      <protection/>
    </xf>
    <xf numFmtId="176" fontId="0" fillId="0" borderId="76" xfId="61" applyNumberFormat="1" applyFont="1" applyFill="1" applyBorder="1" applyAlignment="1">
      <alignment horizontal="center" vertical="center"/>
      <protection/>
    </xf>
    <xf numFmtId="177" fontId="0" fillId="0" borderId="10" xfId="61" applyNumberFormat="1" applyFont="1" applyFill="1" applyBorder="1" applyAlignment="1">
      <alignment horizontal="center" vertical="center"/>
      <protection/>
    </xf>
    <xf numFmtId="183" fontId="0" fillId="0" borderId="17" xfId="61" applyNumberFormat="1" applyFont="1" applyBorder="1" applyAlignment="1">
      <alignment horizontal="center" vertical="center"/>
      <protection/>
    </xf>
    <xf numFmtId="183" fontId="0" fillId="0" borderId="37" xfId="61" applyNumberFormat="1" applyFont="1" applyBorder="1" applyAlignment="1">
      <alignment horizontal="center" vertical="center"/>
      <protection/>
    </xf>
    <xf numFmtId="176" fontId="0" fillId="0" borderId="37" xfId="61" applyNumberFormat="1" applyFont="1" applyFill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177" fontId="0" fillId="0" borderId="14" xfId="61" applyNumberFormat="1" applyFont="1" applyBorder="1" applyAlignment="1">
      <alignment vertical="center"/>
      <protection/>
    </xf>
    <xf numFmtId="177" fontId="0" fillId="0" borderId="21" xfId="61" applyNumberFormat="1" applyFont="1" applyBorder="1" applyAlignment="1">
      <alignment horizontal="center" vertical="center"/>
      <protection/>
    </xf>
    <xf numFmtId="177" fontId="0" fillId="0" borderId="21" xfId="61" applyNumberFormat="1" applyFont="1" applyFill="1" applyBorder="1" applyAlignment="1">
      <alignment horizontal="center" vertical="center"/>
      <protection/>
    </xf>
    <xf numFmtId="177" fontId="0" fillId="0" borderId="14" xfId="61" applyNumberFormat="1" applyFont="1" applyFill="1" applyBorder="1" applyAlignment="1">
      <alignment horizontal="center" vertical="center"/>
      <protection/>
    </xf>
    <xf numFmtId="177" fontId="0" fillId="0" borderId="12" xfId="61" applyNumberFormat="1" applyFont="1" applyFill="1" applyBorder="1" applyAlignment="1">
      <alignment horizontal="center" vertical="center"/>
      <protection/>
    </xf>
    <xf numFmtId="183" fontId="0" fillId="0" borderId="15" xfId="61" applyNumberFormat="1" applyFont="1" applyBorder="1" applyAlignment="1">
      <alignment vertical="center"/>
      <protection/>
    </xf>
    <xf numFmtId="183" fontId="0" fillId="0" borderId="36" xfId="61" applyNumberFormat="1" applyFont="1" applyBorder="1" applyAlignment="1">
      <alignment vertical="center"/>
      <protection/>
    </xf>
    <xf numFmtId="183" fontId="0" fillId="0" borderId="22" xfId="61" applyNumberFormat="1" applyFont="1" applyBorder="1" applyAlignment="1">
      <alignment horizontal="center" vertical="center"/>
      <protection/>
    </xf>
    <xf numFmtId="183" fontId="0" fillId="0" borderId="41" xfId="61" applyNumberFormat="1" applyFont="1" applyBorder="1" applyAlignment="1">
      <alignment horizontal="center" vertical="center"/>
      <protection/>
    </xf>
    <xf numFmtId="176" fontId="0" fillId="0" borderId="29" xfId="61" applyNumberFormat="1" applyFont="1" applyBorder="1" applyAlignment="1">
      <alignment horizontal="center" vertical="center"/>
      <protection/>
    </xf>
    <xf numFmtId="176" fontId="0" fillId="0" borderId="29" xfId="61" applyNumberFormat="1" applyFont="1" applyBorder="1" applyAlignment="1">
      <alignment horizontal="right" vertical="center"/>
      <protection/>
    </xf>
    <xf numFmtId="176" fontId="0" fillId="0" borderId="54" xfId="61" applyNumberFormat="1" applyFont="1" applyBorder="1" applyAlignment="1">
      <alignment horizontal="right" vertical="center"/>
      <protection/>
    </xf>
    <xf numFmtId="176" fontId="0" fillId="0" borderId="28" xfId="61" applyNumberFormat="1" applyFont="1" applyBorder="1" applyAlignment="1">
      <alignment horizontal="right" vertical="center"/>
      <protection/>
    </xf>
    <xf numFmtId="176" fontId="0" fillId="0" borderId="51" xfId="61" applyNumberFormat="1" applyFont="1" applyFill="1" applyBorder="1" applyAlignment="1">
      <alignment horizontal="right" vertical="center"/>
      <protection/>
    </xf>
    <xf numFmtId="183" fontId="0" fillId="0" borderId="10" xfId="61" applyNumberFormat="1" applyFont="1" applyBorder="1" applyAlignment="1">
      <alignment horizontal="center" vertical="center"/>
      <protection/>
    </xf>
    <xf numFmtId="176" fontId="0" fillId="0" borderId="10" xfId="61" applyNumberFormat="1" applyFont="1" applyBorder="1" applyAlignment="1">
      <alignment horizontal="center" vertical="center"/>
      <protection/>
    </xf>
    <xf numFmtId="176" fontId="0" fillId="0" borderId="10" xfId="61" applyNumberFormat="1" applyFont="1" applyBorder="1" applyAlignment="1">
      <alignment horizontal="right" vertical="center"/>
      <protection/>
    </xf>
    <xf numFmtId="176" fontId="0" fillId="0" borderId="35" xfId="61" applyNumberFormat="1" applyFont="1" applyBorder="1" applyAlignment="1">
      <alignment horizontal="right" vertical="center"/>
      <protection/>
    </xf>
    <xf numFmtId="176" fontId="0" fillId="0" borderId="17" xfId="61" applyNumberFormat="1" applyFont="1" applyBorder="1" applyAlignment="1">
      <alignment horizontal="right" vertical="center"/>
      <protection/>
    </xf>
    <xf numFmtId="176" fontId="0" fillId="0" borderId="37" xfId="61" applyNumberFormat="1" applyFont="1" applyFill="1" applyBorder="1" applyAlignment="1">
      <alignment horizontal="right" vertical="center"/>
      <protection/>
    </xf>
    <xf numFmtId="183" fontId="0" fillId="0" borderId="12" xfId="61" applyNumberFormat="1" applyFont="1" applyBorder="1" applyAlignment="1">
      <alignment horizontal="center" vertical="center"/>
      <protection/>
    </xf>
    <xf numFmtId="176" fontId="0" fillId="0" borderId="71" xfId="61" applyNumberFormat="1" applyFont="1" applyBorder="1" applyAlignment="1">
      <alignment horizontal="right" vertical="center"/>
      <protection/>
    </xf>
    <xf numFmtId="176" fontId="0" fillId="0" borderId="54" xfId="61" applyNumberFormat="1" applyFont="1" applyBorder="1" applyAlignment="1">
      <alignment horizontal="center" vertical="center"/>
      <protection/>
    </xf>
    <xf numFmtId="176" fontId="0" fillId="0" borderId="28" xfId="61" applyNumberFormat="1" applyFont="1" applyBorder="1" applyAlignment="1">
      <alignment horizontal="center" vertical="center"/>
      <protection/>
    </xf>
    <xf numFmtId="176" fontId="0" fillId="0" borderId="76" xfId="61" applyNumberFormat="1" applyFont="1" applyFill="1" applyBorder="1" applyAlignment="1">
      <alignment horizontal="right" vertical="center"/>
      <protection/>
    </xf>
    <xf numFmtId="183" fontId="0" fillId="0" borderId="35" xfId="61" applyNumberFormat="1" applyFont="1" applyBorder="1" applyAlignment="1">
      <alignment horizontal="center" vertical="center"/>
      <protection/>
    </xf>
    <xf numFmtId="183" fontId="0" fillId="0" borderId="37" xfId="61" applyNumberFormat="1" applyFont="1" applyFill="1" applyBorder="1" applyAlignment="1">
      <alignment horizontal="center" vertical="center"/>
      <protection/>
    </xf>
    <xf numFmtId="176" fontId="0" fillId="0" borderId="35" xfId="61" applyNumberFormat="1" applyFont="1" applyBorder="1" applyAlignment="1">
      <alignment horizontal="center" vertical="center"/>
      <protection/>
    </xf>
    <xf numFmtId="183" fontId="0" fillId="0" borderId="72" xfId="61" applyNumberFormat="1" applyFont="1" applyBorder="1" applyAlignment="1">
      <alignment horizontal="center" vertical="center"/>
      <protection/>
    </xf>
    <xf numFmtId="183" fontId="0" fillId="0" borderId="18" xfId="61" applyNumberFormat="1" applyFont="1" applyBorder="1" applyAlignment="1">
      <alignment horizontal="center" vertical="center"/>
      <protection/>
    </xf>
    <xf numFmtId="183" fontId="0" fillId="0" borderId="41" xfId="61" applyNumberFormat="1" applyFont="1" applyFill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48" xfId="61" applyFont="1" applyBorder="1" applyAlignment="1">
      <alignment horizontal="center" vertical="center"/>
      <protection/>
    </xf>
    <xf numFmtId="177" fontId="0" fillId="0" borderId="48" xfId="61" applyNumberFormat="1" applyFont="1" applyBorder="1" applyAlignment="1">
      <alignment vertical="center"/>
      <protection/>
    </xf>
    <xf numFmtId="177" fontId="0" fillId="0" borderId="77" xfId="61" applyNumberFormat="1" applyFont="1" applyBorder="1" applyAlignment="1">
      <alignment horizontal="center" vertical="center"/>
      <protection/>
    </xf>
    <xf numFmtId="177" fontId="0" fillId="0" borderId="77" xfId="61" applyNumberFormat="1" applyFont="1" applyFill="1" applyBorder="1" applyAlignment="1">
      <alignment vertical="center"/>
      <protection/>
    </xf>
    <xf numFmtId="177" fontId="0" fillId="0" borderId="48" xfId="61" applyNumberFormat="1" applyFont="1" applyFill="1" applyBorder="1" applyAlignment="1">
      <alignment vertical="center"/>
      <protection/>
    </xf>
    <xf numFmtId="183" fontId="0" fillId="0" borderId="14" xfId="61" applyNumberFormat="1" applyFont="1" applyBorder="1" applyAlignment="1">
      <alignment vertical="center"/>
      <protection/>
    </xf>
    <xf numFmtId="183" fontId="0" fillId="0" borderId="0" xfId="61" applyNumberFormat="1" applyFont="1" applyBorder="1" applyAlignment="1">
      <alignment vertical="center"/>
      <protection/>
    </xf>
    <xf numFmtId="183" fontId="0" fillId="0" borderId="21" xfId="61" applyNumberFormat="1" applyFont="1" applyBorder="1" applyAlignment="1">
      <alignment vertical="center"/>
      <protection/>
    </xf>
    <xf numFmtId="183" fontId="0" fillId="0" borderId="21" xfId="61" applyNumberFormat="1" applyFont="1" applyBorder="1" applyAlignment="1">
      <alignment horizontal="center" vertical="center"/>
      <protection/>
    </xf>
    <xf numFmtId="176" fontId="0" fillId="0" borderId="70" xfId="61" applyNumberFormat="1" applyFont="1" applyBorder="1" applyAlignment="1">
      <alignment horizontal="center" vertical="center"/>
      <protection/>
    </xf>
    <xf numFmtId="176" fontId="0" fillId="0" borderId="75" xfId="61" applyNumberFormat="1" applyFont="1" applyBorder="1" applyAlignment="1">
      <alignment horizontal="right" vertical="center"/>
      <protection/>
    </xf>
    <xf numFmtId="177" fontId="0" fillId="0" borderId="35" xfId="61" applyNumberFormat="1" applyFont="1" applyFill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177" fontId="0" fillId="0" borderId="15" xfId="61" applyNumberFormat="1" applyFont="1" applyBorder="1" applyAlignment="1">
      <alignment vertical="center"/>
      <protection/>
    </xf>
    <xf numFmtId="177" fontId="0" fillId="0" borderId="22" xfId="61" applyNumberFormat="1" applyFont="1" applyBorder="1" applyAlignment="1">
      <alignment horizontal="center" vertical="center"/>
      <protection/>
    </xf>
    <xf numFmtId="177" fontId="0" fillId="0" borderId="22" xfId="61" applyNumberFormat="1" applyFont="1" applyFill="1" applyBorder="1" applyAlignment="1">
      <alignment horizontal="center" vertical="center"/>
      <protection/>
    </xf>
    <xf numFmtId="177" fontId="0" fillId="0" borderId="15" xfId="61" applyNumberFormat="1" applyFont="1" applyFill="1" applyBorder="1" applyAlignment="1">
      <alignment horizontal="center" vertical="center"/>
      <protection/>
    </xf>
    <xf numFmtId="177" fontId="0" fillId="0" borderId="72" xfId="61" applyNumberFormat="1" applyFont="1" applyFill="1" applyBorder="1" applyAlignment="1">
      <alignment horizontal="center" vertical="center"/>
      <protection/>
    </xf>
    <xf numFmtId="177" fontId="0" fillId="0" borderId="29" xfId="61" applyNumberFormat="1" applyFont="1" applyBorder="1" applyAlignment="1">
      <alignment vertical="center"/>
      <protection/>
    </xf>
    <xf numFmtId="177" fontId="0" fillId="0" borderId="28" xfId="61" applyNumberFormat="1" applyFont="1" applyBorder="1" applyAlignment="1">
      <alignment horizontal="center" vertical="center"/>
      <protection/>
    </xf>
    <xf numFmtId="177" fontId="0" fillId="0" borderId="28" xfId="61" applyNumberFormat="1" applyFont="1" applyFill="1" applyBorder="1" applyAlignment="1">
      <alignment horizontal="center" vertical="center"/>
      <protection/>
    </xf>
    <xf numFmtId="177" fontId="0" fillId="0" borderId="29" xfId="61" applyNumberFormat="1" applyFont="1" applyFill="1" applyBorder="1" applyAlignment="1">
      <alignment horizontal="center" vertical="center"/>
      <protection/>
    </xf>
    <xf numFmtId="176" fontId="0" fillId="0" borderId="70" xfId="61" applyNumberFormat="1" applyFont="1" applyBorder="1" applyAlignment="1">
      <alignment horizontal="right" vertical="center"/>
      <protection/>
    </xf>
    <xf numFmtId="0" fontId="0" fillId="0" borderId="16" xfId="61" applyFont="1" applyBorder="1" applyAlignment="1">
      <alignment horizontal="center" vertical="center"/>
      <protection/>
    </xf>
    <xf numFmtId="177" fontId="0" fillId="0" borderId="16" xfId="61" applyNumberFormat="1" applyFont="1" applyBorder="1" applyAlignment="1">
      <alignment vertical="center"/>
      <protection/>
    </xf>
    <xf numFmtId="177" fontId="0" fillId="0" borderId="23" xfId="61" applyNumberFormat="1" applyFont="1" applyBorder="1" applyAlignment="1">
      <alignment horizontal="center" vertical="center"/>
      <protection/>
    </xf>
    <xf numFmtId="177" fontId="0" fillId="0" borderId="23" xfId="61" applyNumberFormat="1" applyFont="1" applyFill="1" applyBorder="1" applyAlignment="1">
      <alignment horizontal="center" vertical="center"/>
      <protection/>
    </xf>
    <xf numFmtId="177" fontId="0" fillId="0" borderId="16" xfId="61" applyNumberFormat="1" applyFont="1" applyFill="1" applyBorder="1" applyAlignment="1">
      <alignment horizontal="center" vertical="center"/>
      <protection/>
    </xf>
    <xf numFmtId="177" fontId="0" fillId="0" borderId="11" xfId="61" applyNumberFormat="1" applyFont="1" applyFill="1" applyBorder="1" applyAlignment="1">
      <alignment horizontal="center" vertical="center"/>
      <protection/>
    </xf>
    <xf numFmtId="183" fontId="0" fillId="0" borderId="19" xfId="61" applyNumberFormat="1" applyFont="1" applyBorder="1" applyAlignment="1">
      <alignment vertical="center"/>
      <protection/>
    </xf>
    <xf numFmtId="183" fontId="0" fillId="0" borderId="19" xfId="61" applyNumberFormat="1" applyFont="1" applyBorder="1" applyAlignment="1">
      <alignment horizontal="center" vertical="center"/>
      <protection/>
    </xf>
    <xf numFmtId="183" fontId="0" fillId="0" borderId="62" xfId="61" applyNumberFormat="1" applyFont="1" applyBorder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74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72" xfId="61" applyFont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78" xfId="61" applyFont="1" applyFill="1" applyBorder="1" applyAlignment="1">
      <alignment horizontal="center" vertical="center"/>
      <protection/>
    </xf>
    <xf numFmtId="0" fontId="8" fillId="0" borderId="79" xfId="61" applyFont="1" applyBorder="1" applyAlignment="1">
      <alignment vertical="center"/>
      <protection/>
    </xf>
    <xf numFmtId="0" fontId="0" fillId="0" borderId="13" xfId="61" applyFont="1" applyBorder="1" applyAlignment="1">
      <alignment vertical="center"/>
      <protection/>
    </xf>
    <xf numFmtId="176" fontId="0" fillId="0" borderId="14" xfId="61" applyNumberFormat="1" applyFont="1" applyBorder="1" applyAlignment="1">
      <alignment vertical="center"/>
      <protection/>
    </xf>
    <xf numFmtId="176" fontId="0" fillId="0" borderId="50" xfId="61" applyNumberFormat="1" applyFont="1" applyBorder="1" applyAlignment="1">
      <alignment vertical="center"/>
      <protection/>
    </xf>
    <xf numFmtId="176" fontId="0" fillId="0" borderId="50" xfId="61" applyNumberFormat="1" applyFont="1" applyFill="1" applyBorder="1" applyAlignment="1">
      <alignment vertical="center"/>
      <protection/>
    </xf>
    <xf numFmtId="176" fontId="0" fillId="0" borderId="0" xfId="61" applyNumberFormat="1" applyFont="1" applyFill="1" applyBorder="1" applyAlignment="1">
      <alignment vertical="center"/>
      <protection/>
    </xf>
    <xf numFmtId="176" fontId="0" fillId="0" borderId="60" xfId="61" applyNumberFormat="1" applyFont="1" applyBorder="1" applyAlignment="1">
      <alignment vertical="center"/>
      <protection/>
    </xf>
    <xf numFmtId="176" fontId="0" fillId="0" borderId="60" xfId="61" applyNumberFormat="1" applyFont="1" applyFill="1" applyBorder="1" applyAlignment="1">
      <alignment vertical="center"/>
      <protection/>
    </xf>
    <xf numFmtId="176" fontId="0" fillId="0" borderId="54" xfId="61" applyNumberFormat="1" applyFont="1" applyBorder="1" applyAlignment="1">
      <alignment vertical="center"/>
      <protection/>
    </xf>
    <xf numFmtId="176" fontId="0" fillId="0" borderId="65" xfId="61" applyNumberFormat="1" applyFont="1" applyFill="1" applyBorder="1" applyAlignment="1">
      <alignment vertical="center"/>
      <protection/>
    </xf>
    <xf numFmtId="0" fontId="8" fillId="0" borderId="80" xfId="61" applyFont="1" applyBorder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41" fontId="0" fillId="0" borderId="48" xfId="61" applyNumberFormat="1" applyFont="1" applyBorder="1" applyAlignment="1">
      <alignment horizontal="right" vertical="center"/>
      <protection/>
    </xf>
    <xf numFmtId="41" fontId="0" fillId="0" borderId="58" xfId="61" applyNumberFormat="1" applyFont="1" applyBorder="1" applyAlignment="1">
      <alignment horizontal="right" vertical="center"/>
      <protection/>
    </xf>
    <xf numFmtId="41" fontId="0" fillId="0" borderId="48" xfId="61" applyNumberFormat="1" applyFont="1" applyFill="1" applyBorder="1" applyAlignment="1">
      <alignment horizontal="right" vertical="center"/>
      <protection/>
    </xf>
    <xf numFmtId="41" fontId="0" fillId="0" borderId="77" xfId="61" applyNumberFormat="1" applyFont="1" applyFill="1" applyBorder="1" applyAlignment="1">
      <alignment horizontal="right" vertical="center"/>
      <protection/>
    </xf>
    <xf numFmtId="41" fontId="0" fillId="0" borderId="58" xfId="61" applyNumberFormat="1" applyFont="1" applyFill="1" applyBorder="1" applyAlignment="1">
      <alignment horizontal="right" vertical="center"/>
      <protection/>
    </xf>
    <xf numFmtId="41" fontId="0" fillId="0" borderId="49" xfId="61" applyNumberFormat="1" applyFont="1" applyFill="1" applyBorder="1" applyAlignment="1">
      <alignment horizontal="right" vertical="center"/>
      <protection/>
    </xf>
    <xf numFmtId="176" fontId="0" fillId="0" borderId="10" xfId="61" applyNumberFormat="1" applyFont="1" applyFill="1" applyBorder="1" applyAlignment="1">
      <alignment horizontal="right" vertical="center"/>
      <protection/>
    </xf>
    <xf numFmtId="176" fontId="0" fillId="0" borderId="53" xfId="61" applyNumberFormat="1" applyFont="1" applyBorder="1" applyAlignment="1">
      <alignment horizontal="right" vertical="center"/>
      <protection/>
    </xf>
    <xf numFmtId="176" fontId="0" fillId="0" borderId="53" xfId="61" applyNumberFormat="1" applyFont="1" applyFill="1" applyBorder="1" applyAlignment="1">
      <alignment horizontal="right" vertical="center"/>
      <protection/>
    </xf>
    <xf numFmtId="176" fontId="0" fillId="0" borderId="35" xfId="61" applyNumberFormat="1" applyFont="1" applyBorder="1" applyAlignment="1">
      <alignment horizontal="right" vertical="center"/>
      <protection/>
    </xf>
    <xf numFmtId="176" fontId="0" fillId="0" borderId="10" xfId="61" applyNumberFormat="1" applyFont="1" applyFill="1" applyBorder="1" applyAlignment="1">
      <alignment horizontal="right" vertical="center"/>
      <protection/>
    </xf>
    <xf numFmtId="176" fontId="0" fillId="0" borderId="81" xfId="61" applyNumberFormat="1" applyFont="1" applyFill="1" applyBorder="1" applyAlignment="1">
      <alignment horizontal="right" vertical="center"/>
      <protection/>
    </xf>
    <xf numFmtId="0" fontId="8" fillId="0" borderId="30" xfId="61" applyFont="1" applyBorder="1" applyAlignment="1">
      <alignment vertical="center"/>
      <protection/>
    </xf>
    <xf numFmtId="0" fontId="10" fillId="0" borderId="48" xfId="61" applyFont="1" applyBorder="1" applyAlignment="1">
      <alignment vertical="center"/>
      <protection/>
    </xf>
    <xf numFmtId="176" fontId="0" fillId="0" borderId="53" xfId="61" applyNumberFormat="1" applyFont="1" applyBorder="1" applyAlignment="1">
      <alignment vertical="center"/>
      <protection/>
    </xf>
    <xf numFmtId="176" fontId="0" fillId="0" borderId="53" xfId="61" applyNumberFormat="1" applyFont="1" applyFill="1" applyBorder="1" applyAlignment="1">
      <alignment vertical="center"/>
      <protection/>
    </xf>
    <xf numFmtId="176" fontId="0" fillId="0" borderId="35" xfId="61" applyNumberFormat="1" applyFont="1" applyBorder="1" applyAlignment="1">
      <alignment vertical="center"/>
      <protection/>
    </xf>
    <xf numFmtId="0" fontId="8" fillId="0" borderId="80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vertical="center"/>
      <protection/>
    </xf>
    <xf numFmtId="0" fontId="10" fillId="0" borderId="10" xfId="61" applyFont="1" applyFill="1" applyBorder="1" applyAlignment="1">
      <alignment vertical="center" shrinkToFit="1"/>
      <protection/>
    </xf>
    <xf numFmtId="0" fontId="0" fillId="0" borderId="10" xfId="61" applyFont="1" applyFill="1" applyBorder="1" applyAlignment="1">
      <alignment vertical="center" shrinkToFit="1"/>
      <protection/>
    </xf>
    <xf numFmtId="0" fontId="8" fillId="0" borderId="82" xfId="61" applyFont="1" applyBorder="1" applyAlignment="1">
      <alignment vertical="center"/>
      <protection/>
    </xf>
    <xf numFmtId="176" fontId="0" fillId="0" borderId="58" xfId="61" applyNumberFormat="1" applyFont="1" applyBorder="1" applyAlignment="1">
      <alignment vertical="center"/>
      <protection/>
    </xf>
    <xf numFmtId="176" fontId="0" fillId="0" borderId="77" xfId="61" applyNumberFormat="1" applyFont="1" applyFill="1" applyBorder="1" applyAlignment="1">
      <alignment vertical="center"/>
      <protection/>
    </xf>
    <xf numFmtId="176" fontId="0" fillId="0" borderId="58" xfId="61" applyNumberFormat="1" applyFont="1" applyFill="1" applyBorder="1" applyAlignment="1">
      <alignment vertical="center"/>
      <protection/>
    </xf>
    <xf numFmtId="176" fontId="0" fillId="0" borderId="49" xfId="61" applyNumberFormat="1" applyFont="1" applyFill="1" applyBorder="1" applyAlignment="1">
      <alignment vertical="center"/>
      <protection/>
    </xf>
    <xf numFmtId="176" fontId="0" fillId="0" borderId="81" xfId="61" applyNumberFormat="1" applyFont="1" applyFill="1" applyBorder="1" applyAlignment="1">
      <alignment vertical="center"/>
      <protection/>
    </xf>
    <xf numFmtId="41" fontId="0" fillId="0" borderId="29" xfId="61" applyNumberFormat="1" applyFont="1" applyBorder="1" applyAlignment="1">
      <alignment horizontal="right" vertical="center"/>
      <protection/>
    </xf>
    <xf numFmtId="41" fontId="0" fillId="0" borderId="10" xfId="61" applyNumberFormat="1" applyFont="1" applyBorder="1" applyAlignment="1">
      <alignment horizontal="right" vertical="center"/>
      <protection/>
    </xf>
    <xf numFmtId="41" fontId="0" fillId="0" borderId="10" xfId="61" applyNumberFormat="1" applyFont="1" applyFill="1" applyBorder="1" applyAlignment="1">
      <alignment vertical="center"/>
      <protection/>
    </xf>
    <xf numFmtId="41" fontId="0" fillId="0" borderId="17" xfId="61" applyNumberFormat="1" applyFont="1" applyFill="1" applyBorder="1" applyAlignment="1">
      <alignment vertical="center"/>
      <protection/>
    </xf>
    <xf numFmtId="41" fontId="0" fillId="0" borderId="53" xfId="61" applyNumberFormat="1" applyFont="1" applyFill="1" applyBorder="1" applyAlignment="1">
      <alignment horizontal="right" vertical="center"/>
      <protection/>
    </xf>
    <xf numFmtId="41" fontId="0" fillId="0" borderId="35" xfId="61" applyNumberFormat="1" applyFont="1" applyFill="1" applyBorder="1" applyAlignment="1">
      <alignment horizontal="right" vertical="center"/>
      <protection/>
    </xf>
    <xf numFmtId="176" fontId="0" fillId="0" borderId="81" xfId="61" applyNumberFormat="1" applyFont="1" applyBorder="1" applyAlignment="1">
      <alignment horizontal="right" vertical="center"/>
      <protection/>
    </xf>
    <xf numFmtId="176" fontId="0" fillId="0" borderId="17" xfId="61" applyNumberFormat="1" applyFont="1" applyFill="1" applyBorder="1" applyAlignment="1">
      <alignment vertical="center"/>
      <protection/>
    </xf>
    <xf numFmtId="176" fontId="0" fillId="0" borderId="81" xfId="61" applyNumberFormat="1" applyFont="1" applyBorder="1" applyAlignment="1">
      <alignment vertical="center"/>
      <protection/>
    </xf>
    <xf numFmtId="177" fontId="0" fillId="0" borderId="16" xfId="61" applyNumberFormat="1" applyFont="1" applyBorder="1" applyAlignment="1">
      <alignment vertical="center"/>
      <protection/>
    </xf>
    <xf numFmtId="177" fontId="0" fillId="0" borderId="11" xfId="61" applyNumberFormat="1" applyFont="1" applyBorder="1" applyAlignment="1">
      <alignment vertical="center"/>
      <protection/>
    </xf>
    <xf numFmtId="177" fontId="0" fillId="0" borderId="61" xfId="61" applyNumberFormat="1" applyFont="1" applyBorder="1" applyAlignment="1">
      <alignment vertical="center"/>
      <protection/>
    </xf>
    <xf numFmtId="177" fontId="0" fillId="0" borderId="19" xfId="61" applyNumberFormat="1" applyFont="1" applyFill="1" applyBorder="1" applyAlignment="1">
      <alignment vertical="center"/>
      <protection/>
    </xf>
    <xf numFmtId="177" fontId="0" fillId="0" borderId="16" xfId="61" applyNumberFormat="1" applyFont="1" applyFill="1" applyBorder="1" applyAlignment="1">
      <alignment vertical="center"/>
      <protection/>
    </xf>
    <xf numFmtId="177" fontId="0" fillId="0" borderId="83" xfId="61" applyNumberFormat="1" applyFont="1" applyFill="1" applyBorder="1" applyAlignment="1">
      <alignment vertical="center"/>
      <protection/>
    </xf>
    <xf numFmtId="183" fontId="0" fillId="0" borderId="16" xfId="61" applyNumberFormat="1" applyFont="1" applyFill="1" applyBorder="1" applyAlignment="1">
      <alignment vertical="center"/>
      <protection/>
    </xf>
    <xf numFmtId="183" fontId="0" fillId="0" borderId="83" xfId="61" applyNumberFormat="1" applyFont="1" applyBorder="1" applyAlignment="1">
      <alignment vertical="center"/>
      <protection/>
    </xf>
    <xf numFmtId="183" fontId="0" fillId="0" borderId="83" xfId="61" applyNumberFormat="1" applyFont="1" applyFill="1" applyBorder="1" applyAlignment="1">
      <alignment vertical="center"/>
      <protection/>
    </xf>
    <xf numFmtId="183" fontId="0" fillId="0" borderId="34" xfId="61" applyNumberFormat="1" applyFont="1" applyBorder="1" applyAlignment="1">
      <alignment vertical="center"/>
      <protection/>
    </xf>
    <xf numFmtId="183" fontId="0" fillId="0" borderId="16" xfId="61" applyNumberFormat="1" applyFont="1" applyFill="1" applyBorder="1" applyAlignment="1">
      <alignment vertical="center"/>
      <protection/>
    </xf>
    <xf numFmtId="183" fontId="0" fillId="0" borderId="67" xfId="61" applyNumberFormat="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177" fontId="0" fillId="0" borderId="0" xfId="61" applyNumberFormat="1" applyFont="1" applyBorder="1" applyAlignment="1">
      <alignment vertical="center"/>
      <protection/>
    </xf>
    <xf numFmtId="177" fontId="0" fillId="0" borderId="0" xfId="61" applyNumberFormat="1" applyFont="1" applyFill="1" applyBorder="1" applyAlignment="1">
      <alignment vertical="center"/>
      <protection/>
    </xf>
    <xf numFmtId="183" fontId="0" fillId="0" borderId="0" xfId="61" applyNumberFormat="1" applyFont="1" applyFill="1" applyBorder="1" applyAlignment="1">
      <alignment vertical="center"/>
      <protection/>
    </xf>
    <xf numFmtId="183" fontId="0" fillId="0" borderId="0" xfId="61" applyNumberFormat="1" applyFont="1" applyBorder="1" applyAlignment="1">
      <alignment vertical="center"/>
      <protection/>
    </xf>
    <xf numFmtId="183" fontId="0" fillId="0" borderId="0" xfId="61" applyNumberFormat="1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34" xfId="61" applyFont="1" applyBorder="1" applyAlignment="1">
      <alignment horizontal="right" vertical="center"/>
      <protection/>
    </xf>
    <xf numFmtId="0" fontId="0" fillId="0" borderId="0" xfId="61" applyFont="1" applyBorder="1" applyAlignment="1">
      <alignment horizontal="right" vertic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74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72" xfId="61" applyFont="1" applyBorder="1" applyAlignment="1">
      <alignment horizontal="center" vertical="center"/>
      <protection/>
    </xf>
    <xf numFmtId="0" fontId="0" fillId="0" borderId="78" xfId="61" applyFont="1" applyFill="1" applyBorder="1" applyAlignment="1">
      <alignment horizontal="center" vertical="center"/>
      <protection/>
    </xf>
    <xf numFmtId="0" fontId="8" fillId="0" borderId="84" xfId="61" applyFont="1" applyBorder="1" applyAlignment="1">
      <alignment vertical="center"/>
      <protection/>
    </xf>
    <xf numFmtId="176" fontId="0" fillId="0" borderId="70" xfId="61" applyNumberFormat="1" applyFont="1" applyBorder="1" applyAlignment="1">
      <alignment vertical="center"/>
      <protection/>
    </xf>
    <xf numFmtId="176" fontId="0" fillId="0" borderId="70" xfId="61" applyNumberFormat="1" applyFont="1" applyFill="1" applyBorder="1" applyAlignment="1">
      <alignment vertical="center"/>
      <protection/>
    </xf>
    <xf numFmtId="176" fontId="0" fillId="0" borderId="71" xfId="61" applyNumberFormat="1" applyFont="1" applyFill="1" applyBorder="1" applyAlignment="1">
      <alignment vertical="center"/>
      <protection/>
    </xf>
    <xf numFmtId="176" fontId="0" fillId="0" borderId="28" xfId="61" applyNumberFormat="1" applyFont="1" applyFill="1" applyBorder="1" applyAlignment="1">
      <alignment vertical="center"/>
      <protection/>
    </xf>
    <xf numFmtId="41" fontId="0" fillId="0" borderId="10" xfId="61" applyNumberFormat="1" applyFont="1" applyFill="1" applyBorder="1" applyAlignment="1">
      <alignment horizontal="right" vertical="center"/>
      <protection/>
    </xf>
    <xf numFmtId="41" fontId="0" fillId="0" borderId="10" xfId="61" applyNumberFormat="1" applyFont="1" applyBorder="1" applyAlignment="1">
      <alignment vertical="center"/>
      <protection/>
    </xf>
    <xf numFmtId="41" fontId="0" fillId="0" borderId="17" xfId="61" applyNumberFormat="1" applyFont="1" applyFill="1" applyBorder="1" applyAlignment="1">
      <alignment horizontal="right" vertical="center"/>
      <protection/>
    </xf>
    <xf numFmtId="176" fontId="46" fillId="0" borderId="10" xfId="61" applyNumberFormat="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0" fillId="0" borderId="29" xfId="61" applyFont="1" applyBorder="1" applyAlignment="1">
      <alignment vertical="center"/>
      <protection/>
    </xf>
    <xf numFmtId="0" fontId="8" fillId="0" borderId="85" xfId="61" applyFont="1" applyBorder="1" applyAlignment="1">
      <alignment vertical="center"/>
      <protection/>
    </xf>
    <xf numFmtId="0" fontId="0" fillId="0" borderId="29" xfId="61" applyFont="1" applyBorder="1" applyAlignment="1">
      <alignment vertical="center"/>
      <protection/>
    </xf>
    <xf numFmtId="176" fontId="0" fillId="33" borderId="10" xfId="61" applyNumberFormat="1" applyFont="1" applyFill="1" applyBorder="1" applyAlignment="1">
      <alignment vertical="center"/>
      <protection/>
    </xf>
    <xf numFmtId="0" fontId="10" fillId="0" borderId="80" xfId="61" applyFont="1" applyFill="1" applyBorder="1" applyAlignment="1">
      <alignment vertical="center"/>
      <protection/>
    </xf>
    <xf numFmtId="0" fontId="10" fillId="0" borderId="24" xfId="61" applyFont="1" applyFill="1" applyBorder="1" applyAlignment="1">
      <alignment vertical="center"/>
      <protection/>
    </xf>
    <xf numFmtId="41" fontId="0" fillId="0" borderId="29" xfId="61" applyNumberFormat="1" applyFont="1" applyFill="1" applyBorder="1" applyAlignment="1">
      <alignment vertical="center"/>
      <protection/>
    </xf>
    <xf numFmtId="41" fontId="0" fillId="0" borderId="29" xfId="61" applyNumberFormat="1" applyFont="1" applyFill="1" applyBorder="1" applyAlignment="1">
      <alignment horizontal="right" vertical="center"/>
      <protection/>
    </xf>
    <xf numFmtId="41" fontId="0" fillId="0" borderId="28" xfId="61" applyNumberFormat="1" applyFont="1" applyFill="1" applyBorder="1" applyAlignment="1">
      <alignment horizontal="right" vertical="center"/>
      <protection/>
    </xf>
    <xf numFmtId="0" fontId="8" fillId="0" borderId="10" xfId="61" applyFont="1" applyFill="1" applyBorder="1" applyAlignment="1">
      <alignment vertical="center" wrapText="1"/>
      <protection/>
    </xf>
    <xf numFmtId="0" fontId="0" fillId="0" borderId="0" xfId="64" applyFont="1">
      <alignment/>
      <protection/>
    </xf>
    <xf numFmtId="0" fontId="0" fillId="0" borderId="0" xfId="64" applyFont="1" applyFill="1">
      <alignment/>
      <protection/>
    </xf>
    <xf numFmtId="0" fontId="5" fillId="0" borderId="0" xfId="64" applyFont="1">
      <alignment/>
      <protection/>
    </xf>
    <xf numFmtId="0" fontId="0" fillId="0" borderId="0" xfId="64" applyFont="1" applyAlignment="1">
      <alignment horizontal="right"/>
      <protection/>
    </xf>
    <xf numFmtId="0" fontId="0" fillId="0" borderId="0" xfId="64" applyFont="1" applyFill="1" applyAlignment="1">
      <alignment horizontal="right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17" xfId="64" applyFont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17" xfId="64" applyFont="1" applyFill="1" applyBorder="1" applyAlignment="1">
      <alignment horizontal="center" vertical="center"/>
      <protection/>
    </xf>
    <xf numFmtId="0" fontId="0" fillId="0" borderId="48" xfId="64" applyFont="1" applyBorder="1" applyAlignment="1">
      <alignment horizontal="center"/>
      <protection/>
    </xf>
    <xf numFmtId="0" fontId="0" fillId="0" borderId="50" xfId="64" applyFont="1" applyBorder="1" applyAlignment="1">
      <alignment horizontal="center"/>
      <protection/>
    </xf>
    <xf numFmtId="0" fontId="0" fillId="0" borderId="58" xfId="64" applyFont="1" applyBorder="1" applyAlignment="1">
      <alignment horizontal="center"/>
      <protection/>
    </xf>
    <xf numFmtId="0" fontId="0" fillId="0" borderId="0" xfId="64" applyFont="1" applyBorder="1" applyAlignment="1">
      <alignment horizontal="center"/>
      <protection/>
    </xf>
    <xf numFmtId="0" fontId="0" fillId="0" borderId="48" xfId="64" applyFont="1" applyFill="1" applyBorder="1" applyAlignment="1">
      <alignment horizontal="center"/>
      <protection/>
    </xf>
    <xf numFmtId="0" fontId="0" fillId="0" borderId="64" xfId="64" applyFont="1" applyFill="1" applyBorder="1" applyAlignment="1">
      <alignment horizontal="center"/>
      <protection/>
    </xf>
    <xf numFmtId="0" fontId="0" fillId="0" borderId="24" xfId="64" applyFont="1" applyBorder="1" applyAlignment="1">
      <alignment vertical="center"/>
      <protection/>
    </xf>
    <xf numFmtId="0" fontId="0" fillId="0" borderId="14" xfId="64" applyFont="1" applyBorder="1" applyAlignment="1">
      <alignment vertical="center"/>
      <protection/>
    </xf>
    <xf numFmtId="0" fontId="0" fillId="0" borderId="14" xfId="64" applyFont="1" applyBorder="1">
      <alignment/>
      <protection/>
    </xf>
    <xf numFmtId="0" fontId="0" fillId="0" borderId="48" xfId="64" applyFont="1" applyBorder="1">
      <alignment/>
      <protection/>
    </xf>
    <xf numFmtId="0" fontId="0" fillId="0" borderId="48" xfId="64" applyFont="1" applyFill="1" applyBorder="1">
      <alignment/>
      <protection/>
    </xf>
    <xf numFmtId="0" fontId="0" fillId="0" borderId="14" xfId="64" applyFont="1" applyFill="1" applyBorder="1">
      <alignment/>
      <protection/>
    </xf>
    <xf numFmtId="0" fontId="0" fillId="0" borderId="21" xfId="64" applyFont="1" applyFill="1" applyBorder="1">
      <alignment/>
      <protection/>
    </xf>
    <xf numFmtId="0" fontId="0" fillId="0" borderId="50" xfId="64" applyFont="1" applyBorder="1">
      <alignment/>
      <protection/>
    </xf>
    <xf numFmtId="0" fontId="0" fillId="0" borderId="0" xfId="64" applyFont="1" applyBorder="1">
      <alignment/>
      <protection/>
    </xf>
    <xf numFmtId="0" fontId="0" fillId="0" borderId="64" xfId="64" applyFont="1" applyFill="1" applyBorder="1">
      <alignment/>
      <protection/>
    </xf>
    <xf numFmtId="41" fontId="0" fillId="0" borderId="14" xfId="64" applyNumberFormat="1" applyFont="1" applyBorder="1" applyAlignment="1">
      <alignment horizontal="right" vertical="center"/>
      <protection/>
    </xf>
    <xf numFmtId="41" fontId="0" fillId="0" borderId="21" xfId="64" applyNumberFormat="1" applyFont="1" applyBorder="1" applyAlignment="1">
      <alignment horizontal="right" vertical="center"/>
      <protection/>
    </xf>
    <xf numFmtId="41" fontId="0" fillId="0" borderId="14" xfId="64" applyNumberFormat="1" applyFont="1" applyFill="1" applyBorder="1" applyAlignment="1">
      <alignment horizontal="right" vertical="center"/>
      <protection/>
    </xf>
    <xf numFmtId="41" fontId="0" fillId="0" borderId="21" xfId="64" applyNumberFormat="1" applyFont="1" applyFill="1" applyBorder="1" applyAlignment="1">
      <alignment horizontal="right" vertical="center"/>
      <protection/>
    </xf>
    <xf numFmtId="0" fontId="0" fillId="0" borderId="29" xfId="64" applyFont="1" applyBorder="1" applyAlignment="1">
      <alignment vertical="center"/>
      <protection/>
    </xf>
    <xf numFmtId="0" fontId="0" fillId="0" borderId="59" xfId="64" applyFont="1" applyBorder="1" applyAlignment="1">
      <alignment vertical="center"/>
      <protection/>
    </xf>
    <xf numFmtId="0" fontId="0" fillId="0" borderId="29" xfId="64" applyFont="1" applyBorder="1" applyAlignment="1">
      <alignment horizontal="center" vertical="center"/>
      <protection/>
    </xf>
    <xf numFmtId="41" fontId="0" fillId="0" borderId="17" xfId="64" applyNumberFormat="1" applyFont="1" applyBorder="1">
      <alignment/>
      <protection/>
    </xf>
    <xf numFmtId="41" fontId="0" fillId="0" borderId="10" xfId="64" applyNumberFormat="1" applyFont="1" applyBorder="1">
      <alignment/>
      <protection/>
    </xf>
    <xf numFmtId="41" fontId="0" fillId="0" borderId="10" xfId="64" applyNumberFormat="1" applyFont="1" applyFill="1" applyBorder="1">
      <alignment/>
      <protection/>
    </xf>
    <xf numFmtId="41" fontId="0" fillId="0" borderId="17" xfId="64" applyNumberFormat="1" applyFont="1" applyFill="1" applyBorder="1">
      <alignment/>
      <protection/>
    </xf>
    <xf numFmtId="41" fontId="0" fillId="0" borderId="29" xfId="64" applyNumberFormat="1" applyFont="1" applyFill="1" applyBorder="1">
      <alignment/>
      <protection/>
    </xf>
    <xf numFmtId="176" fontId="0" fillId="0" borderId="48" xfId="64" applyNumberFormat="1" applyFont="1" applyBorder="1">
      <alignment/>
      <protection/>
    </xf>
    <xf numFmtId="176" fontId="0" fillId="0" borderId="58" xfId="64" applyNumberFormat="1" applyFont="1" applyBorder="1">
      <alignment/>
      <protection/>
    </xf>
    <xf numFmtId="176" fontId="0" fillId="0" borderId="49" xfId="64" applyNumberFormat="1" applyFont="1" applyBorder="1">
      <alignment/>
      <protection/>
    </xf>
    <xf numFmtId="176" fontId="0" fillId="0" borderId="48" xfId="64" applyNumberFormat="1" applyFont="1" applyFill="1" applyBorder="1">
      <alignment/>
      <protection/>
    </xf>
    <xf numFmtId="176" fontId="0" fillId="0" borderId="66" xfId="64" applyNumberFormat="1" applyFont="1" applyFill="1" applyBorder="1">
      <alignment/>
      <protection/>
    </xf>
    <xf numFmtId="176" fontId="0" fillId="0" borderId="29" xfId="64" applyNumberFormat="1" applyFont="1" applyBorder="1">
      <alignment/>
      <protection/>
    </xf>
    <xf numFmtId="176" fontId="0" fillId="0" borderId="14" xfId="64" applyNumberFormat="1" applyFont="1" applyBorder="1">
      <alignment/>
      <protection/>
    </xf>
    <xf numFmtId="41" fontId="0" fillId="0" borderId="29" xfId="64" applyNumberFormat="1" applyFont="1" applyFill="1" applyBorder="1" applyAlignment="1">
      <alignment horizontal="right" vertical="center"/>
      <protection/>
    </xf>
    <xf numFmtId="176" fontId="0" fillId="0" borderId="60" xfId="64" applyNumberFormat="1" applyFont="1" applyBorder="1">
      <alignment/>
      <protection/>
    </xf>
    <xf numFmtId="176" fontId="0" fillId="0" borderId="54" xfId="64" applyNumberFormat="1" applyFont="1" applyBorder="1">
      <alignment/>
      <protection/>
    </xf>
    <xf numFmtId="176" fontId="0" fillId="0" borderId="29" xfId="64" applyNumberFormat="1" applyFont="1" applyFill="1" applyBorder="1">
      <alignment/>
      <protection/>
    </xf>
    <xf numFmtId="176" fontId="0" fillId="0" borderId="65" xfId="64" applyNumberFormat="1" applyFont="1" applyFill="1" applyBorder="1">
      <alignment/>
      <protection/>
    </xf>
    <xf numFmtId="0" fontId="0" fillId="0" borderId="48" xfId="64" applyFont="1" applyFill="1" applyBorder="1" applyAlignment="1">
      <alignment horizontal="center" vertical="center"/>
      <protection/>
    </xf>
    <xf numFmtId="176" fontId="0" fillId="0" borderId="10" xfId="64" applyNumberFormat="1" applyFont="1" applyFill="1" applyBorder="1">
      <alignment/>
      <protection/>
    </xf>
    <xf numFmtId="176" fontId="0" fillId="0" borderId="17" xfId="64" applyNumberFormat="1" applyFont="1" applyFill="1" applyBorder="1">
      <alignment/>
      <protection/>
    </xf>
    <xf numFmtId="176" fontId="0" fillId="0" borderId="10" xfId="64" applyNumberFormat="1" applyFont="1" applyBorder="1">
      <alignment/>
      <protection/>
    </xf>
    <xf numFmtId="176" fontId="0" fillId="0" borderId="53" xfId="64" applyNumberFormat="1" applyFont="1" applyBorder="1">
      <alignment/>
      <protection/>
    </xf>
    <xf numFmtId="176" fontId="0" fillId="0" borderId="35" xfId="64" applyNumberFormat="1" applyFont="1" applyBorder="1">
      <alignment/>
      <protection/>
    </xf>
    <xf numFmtId="176" fontId="0" fillId="0" borderId="81" xfId="64" applyNumberFormat="1" applyFont="1" applyBorder="1">
      <alignment/>
      <protection/>
    </xf>
    <xf numFmtId="0" fontId="0" fillId="0" borderId="80" xfId="64" applyFont="1" applyBorder="1" applyAlignment="1">
      <alignment vertical="center"/>
      <protection/>
    </xf>
    <xf numFmtId="0" fontId="0" fillId="0" borderId="10" xfId="64" applyFont="1" applyFill="1" applyBorder="1" applyAlignment="1">
      <alignment vertical="center"/>
      <protection/>
    </xf>
    <xf numFmtId="176" fontId="0" fillId="0" borderId="81" xfId="64" applyNumberFormat="1" applyFont="1" applyFill="1" applyBorder="1">
      <alignment/>
      <protection/>
    </xf>
    <xf numFmtId="41" fontId="0" fillId="0" borderId="14" xfId="64" applyNumberFormat="1" applyFont="1" applyFill="1" applyBorder="1">
      <alignment/>
      <protection/>
    </xf>
    <xf numFmtId="41" fontId="0" fillId="0" borderId="77" xfId="64" applyNumberFormat="1" applyFont="1" applyFill="1" applyBorder="1">
      <alignment/>
      <protection/>
    </xf>
    <xf numFmtId="41" fontId="0" fillId="0" borderId="57" xfId="64" applyNumberFormat="1" applyFont="1" applyFill="1" applyBorder="1">
      <alignment/>
      <protection/>
    </xf>
    <xf numFmtId="0" fontId="0" fillId="0" borderId="48" xfId="64" applyFont="1" applyFill="1" applyBorder="1" applyAlignment="1">
      <alignment vertical="center"/>
      <protection/>
    </xf>
    <xf numFmtId="41" fontId="0" fillId="0" borderId="48" xfId="64" applyNumberFormat="1" applyFont="1" applyFill="1" applyBorder="1" applyAlignment="1">
      <alignment horizontal="right"/>
      <protection/>
    </xf>
    <xf numFmtId="176" fontId="0" fillId="0" borderId="77" xfId="64" applyNumberFormat="1" applyFont="1" applyFill="1" applyBorder="1">
      <alignment/>
      <protection/>
    </xf>
    <xf numFmtId="41" fontId="0" fillId="0" borderId="48" xfId="64" applyNumberFormat="1" applyFont="1" applyFill="1" applyBorder="1">
      <alignment/>
      <protection/>
    </xf>
    <xf numFmtId="41" fontId="0" fillId="0" borderId="50" xfId="64" applyNumberFormat="1" applyFont="1" applyFill="1" applyBorder="1">
      <alignment/>
      <protection/>
    </xf>
    <xf numFmtId="0" fontId="0" fillId="0" borderId="29" xfId="64" applyFont="1" applyFill="1" applyBorder="1" applyAlignment="1">
      <alignment vertical="center"/>
      <protection/>
    </xf>
    <xf numFmtId="41" fontId="0" fillId="0" borderId="29" xfId="64" applyNumberFormat="1" applyFont="1" applyFill="1" applyBorder="1" applyAlignment="1">
      <alignment horizontal="right"/>
      <protection/>
    </xf>
    <xf numFmtId="176" fontId="0" fillId="0" borderId="28" xfId="64" applyNumberFormat="1" applyFont="1" applyFill="1" applyBorder="1">
      <alignment/>
      <protection/>
    </xf>
    <xf numFmtId="176" fontId="0" fillId="0" borderId="29" xfId="64" applyNumberFormat="1" applyFont="1" applyFill="1" applyBorder="1" applyAlignment="1">
      <alignment horizontal="right"/>
      <protection/>
    </xf>
    <xf numFmtId="41" fontId="0" fillId="0" borderId="60" xfId="64" applyNumberFormat="1" applyFont="1" applyFill="1" applyBorder="1">
      <alignment/>
      <protection/>
    </xf>
    <xf numFmtId="41" fontId="0" fillId="0" borderId="28" xfId="64" applyNumberFormat="1" applyFont="1" applyFill="1" applyBorder="1">
      <alignment/>
      <protection/>
    </xf>
    <xf numFmtId="41" fontId="0" fillId="0" borderId="51" xfId="64" applyNumberFormat="1" applyFont="1" applyFill="1" applyBorder="1">
      <alignment/>
      <protection/>
    </xf>
    <xf numFmtId="0" fontId="0" fillId="0" borderId="29" xfId="64" applyFont="1" applyFill="1" applyBorder="1" applyAlignment="1">
      <alignment horizontal="center" vertical="center"/>
      <protection/>
    </xf>
    <xf numFmtId="41" fontId="0" fillId="0" borderId="10" xfId="64" applyNumberFormat="1" applyFont="1" applyFill="1" applyBorder="1" applyAlignment="1">
      <alignment horizontal="right"/>
      <protection/>
    </xf>
    <xf numFmtId="41" fontId="0" fillId="0" borderId="35" xfId="64" applyNumberFormat="1" applyFont="1" applyBorder="1">
      <alignment/>
      <protection/>
    </xf>
    <xf numFmtId="41" fontId="0" fillId="0" borderId="81" xfId="64" applyNumberFormat="1" applyFont="1" applyBorder="1">
      <alignment/>
      <protection/>
    </xf>
    <xf numFmtId="41" fontId="0" fillId="0" borderId="37" xfId="64" applyNumberFormat="1" applyFont="1" applyFill="1" applyBorder="1">
      <alignment/>
      <protection/>
    </xf>
    <xf numFmtId="0" fontId="0" fillId="0" borderId="63" xfId="64" applyFont="1" applyBorder="1" applyAlignment="1">
      <alignment vertical="center"/>
      <protection/>
    </xf>
    <xf numFmtId="176" fontId="0" fillId="0" borderId="10" xfId="64" applyNumberFormat="1" applyFont="1" applyFill="1" applyBorder="1" applyAlignment="1">
      <alignment horizontal="right"/>
      <protection/>
    </xf>
    <xf numFmtId="176" fontId="0" fillId="0" borderId="81" xfId="64" applyNumberFormat="1" applyFont="1" applyFill="1" applyBorder="1" applyAlignment="1">
      <alignment horizontal="right"/>
      <protection/>
    </xf>
    <xf numFmtId="0" fontId="0" fillId="0" borderId="82" xfId="64" applyFont="1" applyFill="1" applyBorder="1" applyAlignment="1">
      <alignment vertical="center"/>
      <protection/>
    </xf>
    <xf numFmtId="41" fontId="0" fillId="0" borderId="48" xfId="64" applyNumberFormat="1" applyFont="1" applyFill="1" applyBorder="1" applyAlignment="1">
      <alignment horizontal="right" vertical="center"/>
      <protection/>
    </xf>
    <xf numFmtId="41" fontId="0" fillId="0" borderId="77" xfId="64" applyNumberFormat="1" applyFont="1" applyFill="1" applyBorder="1" applyAlignment="1">
      <alignment horizontal="right" vertical="center"/>
      <protection/>
    </xf>
    <xf numFmtId="41" fontId="0" fillId="34" borderId="14" xfId="64" applyNumberFormat="1" applyFont="1" applyFill="1" applyBorder="1">
      <alignment/>
      <protection/>
    </xf>
    <xf numFmtId="41" fontId="0" fillId="34" borderId="57" xfId="64" applyNumberFormat="1" applyFont="1" applyFill="1" applyBorder="1">
      <alignment/>
      <protection/>
    </xf>
    <xf numFmtId="0" fontId="0" fillId="0" borderId="14" xfId="64" applyFont="1" applyFill="1" applyBorder="1" applyAlignment="1">
      <alignment vertical="center"/>
      <protection/>
    </xf>
    <xf numFmtId="176" fontId="0" fillId="0" borderId="14" xfId="64" applyNumberFormat="1" applyFont="1" applyFill="1" applyBorder="1">
      <alignment/>
      <protection/>
    </xf>
    <xf numFmtId="41" fontId="0" fillId="0" borderId="21" xfId="64" applyNumberFormat="1" applyFont="1" applyFill="1" applyBorder="1">
      <alignment/>
      <protection/>
    </xf>
    <xf numFmtId="41" fontId="0" fillId="34" borderId="40" xfId="64" applyNumberFormat="1" applyFont="1" applyFill="1" applyBorder="1">
      <alignment/>
      <protection/>
    </xf>
    <xf numFmtId="41" fontId="0" fillId="34" borderId="29" xfId="64" applyNumberFormat="1" applyFont="1" applyFill="1" applyBorder="1">
      <alignment/>
      <protection/>
    </xf>
    <xf numFmtId="41" fontId="0" fillId="34" borderId="51" xfId="64" applyNumberFormat="1" applyFont="1" applyFill="1" applyBorder="1">
      <alignment/>
      <protection/>
    </xf>
    <xf numFmtId="0" fontId="0" fillId="0" borderId="52" xfId="64" applyFont="1" applyFill="1" applyBorder="1" applyAlignment="1">
      <alignment vertical="center"/>
      <protection/>
    </xf>
    <xf numFmtId="41" fontId="0" fillId="0" borderId="10" xfId="64" applyNumberFormat="1" applyFont="1" applyFill="1" applyBorder="1" applyAlignment="1">
      <alignment horizontal="right" vertical="center"/>
      <protection/>
    </xf>
    <xf numFmtId="41" fontId="0" fillId="0" borderId="17" xfId="64" applyNumberFormat="1" applyFont="1" applyFill="1" applyBorder="1" applyAlignment="1">
      <alignment horizontal="right" vertical="center"/>
      <protection/>
    </xf>
    <xf numFmtId="41" fontId="0" fillId="0" borderId="53" xfId="64" applyNumberFormat="1" applyFont="1" applyFill="1" applyBorder="1">
      <alignment/>
      <protection/>
    </xf>
    <xf numFmtId="41" fontId="0" fillId="34" borderId="10" xfId="64" applyNumberFormat="1" applyFont="1" applyFill="1" applyBorder="1">
      <alignment/>
      <protection/>
    </xf>
    <xf numFmtId="41" fontId="0" fillId="34" borderId="37" xfId="64" applyNumberFormat="1" applyFont="1" applyFill="1" applyBorder="1">
      <alignment/>
      <protection/>
    </xf>
    <xf numFmtId="0" fontId="0" fillId="0" borderId="48" xfId="64" applyFont="1" applyBorder="1" applyAlignment="1">
      <alignment vertical="center"/>
      <protection/>
    </xf>
    <xf numFmtId="176" fontId="0" fillId="0" borderId="21" xfId="64" applyNumberFormat="1" applyFont="1" applyBorder="1">
      <alignment/>
      <protection/>
    </xf>
    <xf numFmtId="176" fontId="0" fillId="0" borderId="21" xfId="64" applyNumberFormat="1" applyFont="1" applyFill="1" applyBorder="1">
      <alignment/>
      <protection/>
    </xf>
    <xf numFmtId="176" fontId="0" fillId="0" borderId="50" xfId="64" applyNumberFormat="1" applyFont="1" applyBorder="1">
      <alignment/>
      <protection/>
    </xf>
    <xf numFmtId="176" fontId="0" fillId="0" borderId="0" xfId="64" applyNumberFormat="1" applyFont="1" applyBorder="1">
      <alignment/>
      <protection/>
    </xf>
    <xf numFmtId="176" fontId="0" fillId="0" borderId="77" xfId="64" applyNumberFormat="1" applyFont="1" applyBorder="1">
      <alignment/>
      <protection/>
    </xf>
    <xf numFmtId="176" fontId="0" fillId="0" borderId="57" xfId="64" applyNumberFormat="1" applyFont="1" applyFill="1" applyBorder="1">
      <alignment/>
      <protection/>
    </xf>
    <xf numFmtId="0" fontId="0" fillId="0" borderId="24" xfId="64" applyFont="1" applyFill="1" applyBorder="1" applyAlignment="1">
      <alignment vertical="center"/>
      <protection/>
    </xf>
    <xf numFmtId="176" fontId="0" fillId="0" borderId="50" xfId="64" applyNumberFormat="1" applyFont="1" applyFill="1" applyBorder="1">
      <alignment/>
      <protection/>
    </xf>
    <xf numFmtId="176" fontId="0" fillId="0" borderId="0" xfId="64" applyNumberFormat="1" applyFont="1" applyFill="1" applyBorder="1">
      <alignment/>
      <protection/>
    </xf>
    <xf numFmtId="176" fontId="0" fillId="0" borderId="40" xfId="64" applyNumberFormat="1" applyFont="1" applyFill="1" applyBorder="1">
      <alignment/>
      <protection/>
    </xf>
    <xf numFmtId="0" fontId="0" fillId="0" borderId="14" xfId="64" applyFont="1" applyFill="1" applyBorder="1" applyAlignment="1">
      <alignment vertical="center" shrinkToFit="1"/>
      <protection/>
    </xf>
    <xf numFmtId="41" fontId="0" fillId="0" borderId="40" xfId="64" applyNumberFormat="1" applyFont="1" applyFill="1" applyBorder="1">
      <alignment/>
      <protection/>
    </xf>
    <xf numFmtId="41" fontId="0" fillId="0" borderId="0" xfId="64" applyNumberFormat="1" applyFont="1" applyFill="1" applyBorder="1">
      <alignment/>
      <protection/>
    </xf>
    <xf numFmtId="41" fontId="0" fillId="0" borderId="14" xfId="64" applyNumberFormat="1" applyFont="1" applyFill="1" applyBorder="1" applyAlignment="1">
      <alignment horizontal="right"/>
      <protection/>
    </xf>
    <xf numFmtId="41" fontId="0" fillId="0" borderId="40" xfId="64" applyNumberFormat="1" applyFont="1" applyFill="1" applyBorder="1" applyAlignment="1">
      <alignment horizontal="right"/>
      <protection/>
    </xf>
    <xf numFmtId="41" fontId="0" fillId="0" borderId="14" xfId="64" applyNumberFormat="1" applyFont="1" applyBorder="1">
      <alignment/>
      <protection/>
    </xf>
    <xf numFmtId="176" fontId="0" fillId="0" borderId="14" xfId="64" applyNumberFormat="1" applyFont="1" applyFill="1" applyBorder="1" applyAlignment="1">
      <alignment horizontal="right"/>
      <protection/>
    </xf>
    <xf numFmtId="0" fontId="0" fillId="0" borderId="21" xfId="64" applyFont="1" applyBorder="1" applyAlignment="1">
      <alignment vertical="center"/>
      <protection/>
    </xf>
    <xf numFmtId="0" fontId="11" fillId="0" borderId="14" xfId="64" applyFont="1" applyBorder="1" applyAlignment="1">
      <alignment vertical="center"/>
      <protection/>
    </xf>
    <xf numFmtId="41" fontId="0" fillId="0" borderId="21" xfId="64" applyNumberFormat="1" applyFont="1" applyBorder="1">
      <alignment/>
      <protection/>
    </xf>
    <xf numFmtId="41" fontId="0" fillId="0" borderId="50" xfId="64" applyNumberFormat="1" applyFont="1" applyBorder="1">
      <alignment/>
      <protection/>
    </xf>
    <xf numFmtId="41" fontId="0" fillId="0" borderId="0" xfId="64" applyNumberFormat="1" applyFont="1" applyBorder="1">
      <alignment/>
      <protection/>
    </xf>
    <xf numFmtId="176" fontId="0" fillId="0" borderId="10" xfId="64" applyNumberFormat="1" applyFont="1" applyBorder="1" applyAlignment="1">
      <alignment vertical="center"/>
      <protection/>
    </xf>
    <xf numFmtId="176" fontId="0" fillId="0" borderId="17" xfId="64" applyNumberFormat="1" applyFont="1" applyBorder="1" applyAlignment="1">
      <alignment vertical="center"/>
      <protection/>
    </xf>
    <xf numFmtId="176" fontId="0" fillId="0" borderId="37" xfId="64" applyNumberFormat="1" applyFont="1" applyBorder="1" applyAlignment="1">
      <alignment vertical="center"/>
      <protection/>
    </xf>
    <xf numFmtId="177" fontId="0" fillId="0" borderId="16" xfId="64" applyNumberFormat="1" applyFont="1" applyBorder="1" applyAlignment="1">
      <alignment vertical="center"/>
      <protection/>
    </xf>
    <xf numFmtId="177" fontId="0" fillId="0" borderId="23" xfId="64" applyNumberFormat="1" applyFont="1" applyBorder="1" applyAlignment="1">
      <alignment vertical="center"/>
      <protection/>
    </xf>
    <xf numFmtId="183" fontId="0" fillId="0" borderId="16" xfId="64" applyNumberFormat="1" applyFont="1" applyBorder="1" applyAlignment="1">
      <alignment vertical="center"/>
      <protection/>
    </xf>
    <xf numFmtId="183" fontId="0" fillId="0" borderId="34" xfId="64" applyNumberFormat="1" applyFont="1" applyBorder="1" applyAlignment="1">
      <alignment vertical="center"/>
      <protection/>
    </xf>
    <xf numFmtId="183" fontId="0" fillId="0" borderId="83" xfId="64" applyNumberFormat="1" applyFont="1" applyBorder="1" applyAlignment="1">
      <alignment vertical="center"/>
      <protection/>
    </xf>
    <xf numFmtId="183" fontId="0" fillId="0" borderId="23" xfId="64" applyNumberFormat="1" applyFont="1" applyBorder="1" applyAlignment="1">
      <alignment vertical="center"/>
      <protection/>
    </xf>
    <xf numFmtId="183" fontId="0" fillId="0" borderId="39" xfId="64" applyNumberFormat="1" applyFont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0" fillId="0" borderId="0" xfId="65" applyFont="1" applyAlignment="1">
      <alignment vertical="center"/>
      <protection/>
    </xf>
    <xf numFmtId="0" fontId="4" fillId="0" borderId="0" xfId="65" applyFont="1" applyAlignment="1">
      <alignment vertical="center"/>
      <protection/>
    </xf>
    <xf numFmtId="0" fontId="0" fillId="0" borderId="0" xfId="65" applyFont="1" applyAlignment="1">
      <alignment horizontal="right"/>
      <protection/>
    </xf>
    <xf numFmtId="0" fontId="0" fillId="0" borderId="59" xfId="65" applyFont="1" applyBorder="1" applyAlignment="1">
      <alignment horizontal="center" vertical="center"/>
      <protection/>
    </xf>
    <xf numFmtId="0" fontId="0" fillId="0" borderId="29" xfId="65" applyFont="1" applyBorder="1" applyAlignment="1">
      <alignment horizontal="center" vertical="center"/>
      <protection/>
    </xf>
    <xf numFmtId="0" fontId="0" fillId="0" borderId="51" xfId="65" applyFont="1" applyBorder="1" applyAlignment="1">
      <alignment horizontal="center" vertical="center"/>
      <protection/>
    </xf>
    <xf numFmtId="0" fontId="0" fillId="0" borderId="63" xfId="65" applyFont="1" applyBorder="1" applyAlignment="1">
      <alignment horizontal="center" vertical="center"/>
      <protection/>
    </xf>
    <xf numFmtId="0" fontId="0" fillId="0" borderId="48" xfId="65" applyFont="1" applyBorder="1" applyAlignment="1">
      <alignment horizontal="center" vertical="center"/>
      <protection/>
    </xf>
    <xf numFmtId="176" fontId="0" fillId="0" borderId="48" xfId="65" applyNumberFormat="1" applyFont="1" applyBorder="1" applyAlignment="1">
      <alignment vertical="center"/>
      <protection/>
    </xf>
    <xf numFmtId="177" fontId="0" fillId="0" borderId="48" xfId="65" applyNumberFormat="1" applyFont="1" applyBorder="1" applyAlignment="1">
      <alignment vertical="center"/>
      <protection/>
    </xf>
    <xf numFmtId="177" fontId="0" fillId="0" borderId="14" xfId="65" applyNumberFormat="1" applyFont="1" applyBorder="1" applyAlignment="1">
      <alignment vertical="center"/>
      <protection/>
    </xf>
    <xf numFmtId="177" fontId="0" fillId="0" borderId="57" xfId="65" applyNumberFormat="1" applyFont="1" applyBorder="1" applyAlignment="1">
      <alignment vertical="center"/>
      <protection/>
    </xf>
    <xf numFmtId="0" fontId="0" fillId="0" borderId="24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176" fontId="0" fillId="0" borderId="14" xfId="65" applyNumberFormat="1" applyFont="1" applyBorder="1" applyAlignment="1">
      <alignment vertical="center"/>
      <protection/>
    </xf>
    <xf numFmtId="177" fontId="0" fillId="0" borderId="40" xfId="65" applyNumberFormat="1" applyFont="1" applyBorder="1" applyAlignment="1">
      <alignment vertical="center"/>
      <protection/>
    </xf>
    <xf numFmtId="186" fontId="0" fillId="0" borderId="10" xfId="65" applyNumberFormat="1" applyFont="1" applyBorder="1" applyAlignment="1">
      <alignment vertical="center"/>
      <protection/>
    </xf>
    <xf numFmtId="186" fontId="0" fillId="0" borderId="37" xfId="65" applyNumberFormat="1" applyFont="1" applyBorder="1" applyAlignment="1">
      <alignment vertical="center"/>
      <protection/>
    </xf>
    <xf numFmtId="0" fontId="0" fillId="0" borderId="82" xfId="65" applyFont="1" applyBorder="1" applyAlignment="1">
      <alignment horizontal="center" vertical="center"/>
      <protection/>
    </xf>
    <xf numFmtId="0" fontId="0" fillId="0" borderId="10" xfId="65" applyFont="1" applyBorder="1" applyAlignment="1">
      <alignment horizontal="center" vertical="center"/>
      <protection/>
    </xf>
    <xf numFmtId="176" fontId="0" fillId="0" borderId="10" xfId="65" applyNumberFormat="1" applyFont="1" applyBorder="1" applyAlignment="1">
      <alignment vertical="center"/>
      <protection/>
    </xf>
    <xf numFmtId="177" fontId="0" fillId="0" borderId="10" xfId="65" applyNumberFormat="1" applyFont="1" applyBorder="1" applyAlignment="1">
      <alignment vertical="center"/>
      <protection/>
    </xf>
    <xf numFmtId="177" fontId="0" fillId="0" borderId="37" xfId="65" applyNumberFormat="1" applyFont="1" applyBorder="1" applyAlignment="1">
      <alignment vertical="center"/>
      <protection/>
    </xf>
    <xf numFmtId="0" fontId="0" fillId="0" borderId="30" xfId="65" applyFont="1" applyBorder="1" applyAlignment="1">
      <alignment horizontal="center" vertical="center"/>
      <protection/>
    </xf>
    <xf numFmtId="176" fontId="0" fillId="0" borderId="14" xfId="65" applyNumberFormat="1" applyFont="1" applyFill="1" applyBorder="1" applyAlignment="1">
      <alignment vertical="center"/>
      <protection/>
    </xf>
    <xf numFmtId="176" fontId="0" fillId="0" borderId="10" xfId="65" applyNumberFormat="1" applyFont="1" applyFill="1" applyBorder="1" applyAlignment="1">
      <alignment vertical="center"/>
      <protection/>
    </xf>
    <xf numFmtId="177" fontId="0" fillId="0" borderId="10" xfId="65" applyNumberFormat="1" applyFont="1" applyFill="1" applyBorder="1" applyAlignment="1">
      <alignment vertical="center"/>
      <protection/>
    </xf>
    <xf numFmtId="177" fontId="0" fillId="0" borderId="14" xfId="65" applyNumberFormat="1" applyFont="1" applyFill="1" applyBorder="1" applyAlignment="1">
      <alignment vertical="center"/>
      <protection/>
    </xf>
    <xf numFmtId="176" fontId="0" fillId="0" borderId="48" xfId="65" applyNumberFormat="1" applyFont="1" applyFill="1" applyBorder="1" applyAlignment="1">
      <alignment vertical="center"/>
      <protection/>
    </xf>
    <xf numFmtId="177" fontId="0" fillId="0" borderId="48" xfId="65" applyNumberFormat="1" applyFont="1" applyFill="1" applyBorder="1" applyAlignment="1">
      <alignment vertical="center"/>
      <protection/>
    </xf>
    <xf numFmtId="177" fontId="0" fillId="0" borderId="64" xfId="65" applyNumberFormat="1" applyFont="1" applyBorder="1" applyAlignment="1">
      <alignment vertical="center"/>
      <protection/>
    </xf>
    <xf numFmtId="176" fontId="0" fillId="0" borderId="29" xfId="65" applyNumberFormat="1" applyFont="1" applyBorder="1" applyAlignment="1">
      <alignment vertical="center"/>
      <protection/>
    </xf>
    <xf numFmtId="177" fontId="0" fillId="0" borderId="51" xfId="65" applyNumberFormat="1" applyFont="1" applyBorder="1" applyAlignment="1">
      <alignment vertical="center"/>
      <protection/>
    </xf>
    <xf numFmtId="183" fontId="0" fillId="0" borderId="48" xfId="65" applyNumberFormat="1" applyFont="1" applyBorder="1" applyAlignment="1">
      <alignment vertical="center"/>
      <protection/>
    </xf>
    <xf numFmtId="183" fontId="0" fillId="0" borderId="64" xfId="65" applyNumberFormat="1" applyFont="1" applyBorder="1" applyAlignment="1">
      <alignment vertical="center"/>
      <protection/>
    </xf>
    <xf numFmtId="183" fontId="0" fillId="0" borderId="29" xfId="65" applyNumberFormat="1" applyFont="1" applyBorder="1" applyAlignment="1">
      <alignment vertical="center"/>
      <protection/>
    </xf>
    <xf numFmtId="183" fontId="0" fillId="0" borderId="65" xfId="65" applyNumberFormat="1" applyFont="1" applyBorder="1" applyAlignment="1">
      <alignment vertical="center"/>
      <protection/>
    </xf>
    <xf numFmtId="183" fontId="0" fillId="0" borderId="14" xfId="65" applyNumberFormat="1" applyFont="1" applyBorder="1" applyAlignment="1">
      <alignment vertical="center"/>
      <protection/>
    </xf>
    <xf numFmtId="183" fontId="0" fillId="0" borderId="37" xfId="65" applyNumberFormat="1" applyFont="1" applyBorder="1" applyAlignment="1">
      <alignment vertical="center"/>
      <protection/>
    </xf>
    <xf numFmtId="183" fontId="0" fillId="0" borderId="66" xfId="65" applyNumberFormat="1" applyFont="1" applyBorder="1" applyAlignment="1">
      <alignment vertical="center"/>
      <protection/>
    </xf>
    <xf numFmtId="0" fontId="0" fillId="0" borderId="48" xfId="65" applyFont="1" applyFill="1" applyBorder="1" applyAlignment="1">
      <alignment horizontal="center" vertical="center"/>
      <protection/>
    </xf>
    <xf numFmtId="183" fontId="0" fillId="0" borderId="57" xfId="65" applyNumberFormat="1" applyFont="1" applyBorder="1" applyAlignment="1">
      <alignment vertical="center"/>
      <protection/>
    </xf>
    <xf numFmtId="0" fontId="0" fillId="0" borderId="29" xfId="65" applyFont="1" applyFill="1" applyBorder="1" applyAlignment="1">
      <alignment horizontal="center" vertical="center"/>
      <protection/>
    </xf>
    <xf numFmtId="176" fontId="0" fillId="0" borderId="29" xfId="65" applyNumberFormat="1" applyFont="1" applyFill="1" applyBorder="1" applyAlignment="1">
      <alignment vertical="center"/>
      <protection/>
    </xf>
    <xf numFmtId="183" fontId="0" fillId="0" borderId="51" xfId="65" applyNumberFormat="1" applyFont="1" applyBorder="1" applyAlignment="1">
      <alignment vertical="center"/>
      <protection/>
    </xf>
    <xf numFmtId="0" fontId="0" fillId="0" borderId="16" xfId="65" applyFont="1" applyFill="1" applyBorder="1" applyAlignment="1">
      <alignment horizontal="center" vertical="center"/>
      <protection/>
    </xf>
    <xf numFmtId="176" fontId="0" fillId="0" borderId="16" xfId="65" applyNumberFormat="1" applyFont="1" applyBorder="1" applyAlignment="1">
      <alignment vertical="center"/>
      <protection/>
    </xf>
    <xf numFmtId="183" fontId="0" fillId="0" borderId="16" xfId="65" applyNumberFormat="1" applyFont="1" applyBorder="1" applyAlignment="1">
      <alignment vertical="center"/>
      <protection/>
    </xf>
    <xf numFmtId="183" fontId="0" fillId="0" borderId="67" xfId="65" applyNumberFormat="1" applyFont="1" applyBorder="1" applyAlignment="1">
      <alignment vertical="center"/>
      <protection/>
    </xf>
    <xf numFmtId="0" fontId="0" fillId="0" borderId="0" xfId="61" applyFont="1" applyAlignment="1">
      <alignment/>
      <protection/>
    </xf>
    <xf numFmtId="0" fontId="0" fillId="0" borderId="57" xfId="61" applyFont="1" applyBorder="1" applyAlignment="1">
      <alignment horizontal="center" vertical="center"/>
      <protection/>
    </xf>
    <xf numFmtId="0" fontId="0" fillId="0" borderId="51" xfId="61" applyFont="1" applyBorder="1" applyAlignment="1">
      <alignment horizontal="center" vertical="center"/>
      <protection/>
    </xf>
    <xf numFmtId="0" fontId="0" fillId="0" borderId="85" xfId="61" applyFont="1" applyBorder="1" applyAlignment="1">
      <alignment vertical="center"/>
      <protection/>
    </xf>
    <xf numFmtId="0" fontId="0" fillId="0" borderId="82" xfId="61" applyFont="1" applyBorder="1" applyAlignment="1">
      <alignment vertical="center"/>
      <protection/>
    </xf>
    <xf numFmtId="0" fontId="0" fillId="0" borderId="82" xfId="61" applyFont="1" applyBorder="1" applyAlignment="1">
      <alignment vertical="center"/>
      <protection/>
    </xf>
    <xf numFmtId="177" fontId="0" fillId="0" borderId="64" xfId="61" applyNumberFormat="1" applyFont="1" applyBorder="1" applyAlignment="1">
      <alignment vertical="center"/>
      <protection/>
    </xf>
    <xf numFmtId="0" fontId="0" fillId="0" borderId="85" xfId="61" applyFont="1" applyBorder="1" applyAlignment="1">
      <alignment vertical="center"/>
      <protection/>
    </xf>
    <xf numFmtId="177" fontId="0" fillId="0" borderId="81" xfId="61" applyNumberFormat="1" applyFont="1" applyBorder="1" applyAlignment="1">
      <alignment vertical="center"/>
      <protection/>
    </xf>
    <xf numFmtId="0" fontId="0" fillId="0" borderId="30" xfId="61" applyFont="1" applyBorder="1" applyAlignment="1">
      <alignment vertical="center"/>
      <protection/>
    </xf>
    <xf numFmtId="177" fontId="0" fillId="0" borderId="14" xfId="61" applyNumberFormat="1" applyFont="1" applyBorder="1" applyAlignment="1">
      <alignment vertical="center"/>
      <protection/>
    </xf>
    <xf numFmtId="177" fontId="0" fillId="0" borderId="66" xfId="61" applyNumberFormat="1" applyFont="1" applyBorder="1" applyAlignment="1">
      <alignment vertical="center"/>
      <protection/>
    </xf>
    <xf numFmtId="0" fontId="0" fillId="0" borderId="86" xfId="61" applyFont="1" applyFill="1" applyBorder="1" applyAlignment="1">
      <alignment vertical="center"/>
      <protection/>
    </xf>
    <xf numFmtId="176" fontId="0" fillId="0" borderId="61" xfId="61" applyNumberFormat="1" applyFont="1" applyFill="1" applyBorder="1" applyAlignment="1">
      <alignment vertical="center"/>
      <protection/>
    </xf>
    <xf numFmtId="177" fontId="0" fillId="0" borderId="87" xfId="61" applyNumberFormat="1" applyFont="1" applyBorder="1" applyAlignment="1">
      <alignment vertical="center"/>
      <protection/>
    </xf>
    <xf numFmtId="0" fontId="0" fillId="0" borderId="33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41" fontId="0" fillId="0" borderId="57" xfId="61" applyNumberFormat="1" applyFont="1" applyBorder="1" applyAlignment="1">
      <alignment horizontal="right" vertical="center"/>
      <protection/>
    </xf>
    <xf numFmtId="177" fontId="0" fillId="0" borderId="0" xfId="61" applyNumberFormat="1" applyFont="1" applyAlignment="1">
      <alignment vertical="center"/>
      <protection/>
    </xf>
    <xf numFmtId="41" fontId="0" fillId="0" borderId="37" xfId="61" applyNumberFormat="1" applyFont="1" applyBorder="1" applyAlignment="1">
      <alignment horizontal="right" vertical="center"/>
      <protection/>
    </xf>
    <xf numFmtId="41" fontId="0" fillId="0" borderId="0" xfId="61" applyNumberFormat="1" applyFont="1" applyFill="1" applyBorder="1" applyAlignment="1">
      <alignment horizontal="right" vertical="center"/>
      <protection/>
    </xf>
    <xf numFmtId="41" fontId="0" fillId="0" borderId="64" xfId="61" applyNumberFormat="1" applyFont="1" applyBorder="1" applyAlignment="1">
      <alignment horizontal="right" vertical="center"/>
      <protection/>
    </xf>
    <xf numFmtId="41" fontId="0" fillId="0" borderId="81" xfId="61" applyNumberFormat="1" applyFont="1" applyBorder="1" applyAlignment="1">
      <alignment horizontal="right" vertical="center"/>
      <protection/>
    </xf>
    <xf numFmtId="41" fontId="0" fillId="0" borderId="50" xfId="61" applyNumberFormat="1" applyFont="1" applyFill="1" applyBorder="1" applyAlignment="1">
      <alignment horizontal="right" vertical="center"/>
      <protection/>
    </xf>
    <xf numFmtId="41" fontId="0" fillId="0" borderId="66" xfId="61" applyNumberFormat="1" applyFont="1" applyBorder="1" applyAlignment="1">
      <alignment horizontal="right" vertical="center"/>
      <protection/>
    </xf>
    <xf numFmtId="41" fontId="0" fillId="0" borderId="55" xfId="61" applyNumberFormat="1" applyFont="1" applyFill="1" applyBorder="1" applyAlignment="1">
      <alignment horizontal="right" vertical="center"/>
      <protection/>
    </xf>
    <xf numFmtId="41" fontId="0" fillId="0" borderId="61" xfId="61" applyNumberFormat="1" applyFont="1" applyFill="1" applyBorder="1" applyAlignment="1">
      <alignment horizontal="right" vertical="center"/>
      <protection/>
    </xf>
    <xf numFmtId="41" fontId="0" fillId="0" borderId="87" xfId="61" applyNumberFormat="1" applyFont="1" applyBorder="1" applyAlignment="1">
      <alignment horizontal="right" vertical="center"/>
      <protection/>
    </xf>
    <xf numFmtId="176" fontId="0" fillId="0" borderId="0" xfId="61" applyNumberFormat="1" applyFont="1" applyAlignment="1">
      <alignment vertical="center"/>
      <protection/>
    </xf>
    <xf numFmtId="0" fontId="0" fillId="0" borderId="54" xfId="61" applyFont="1" applyBorder="1" applyAlignment="1">
      <alignment/>
      <protection/>
    </xf>
    <xf numFmtId="0" fontId="0" fillId="0" borderId="37" xfId="61" applyFont="1" applyBorder="1" applyAlignment="1">
      <alignment horizontal="center" vertical="center"/>
      <protection/>
    </xf>
    <xf numFmtId="0" fontId="0" fillId="0" borderId="88" xfId="66" applyFont="1" applyBorder="1" applyAlignment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0" fontId="0" fillId="0" borderId="89" xfId="66" applyFont="1" applyBorder="1" applyAlignment="1">
      <alignment horizontal="center" vertical="center"/>
      <protection/>
    </xf>
    <xf numFmtId="0" fontId="0" fillId="0" borderId="31" xfId="66" applyFont="1" applyBorder="1" applyAlignment="1">
      <alignment horizontal="center" vertical="center"/>
      <protection/>
    </xf>
    <xf numFmtId="0" fontId="0" fillId="0" borderId="24" xfId="66" applyBorder="1" applyAlignment="1">
      <alignment vertical="center"/>
      <protection/>
    </xf>
    <xf numFmtId="0" fontId="0" fillId="0" borderId="26" xfId="66" applyBorder="1" applyAlignment="1">
      <alignment vertical="center"/>
      <protection/>
    </xf>
    <xf numFmtId="0" fontId="0" fillId="0" borderId="27" xfId="66" applyBorder="1" applyAlignment="1">
      <alignment vertical="center"/>
      <protection/>
    </xf>
    <xf numFmtId="0" fontId="0" fillId="0" borderId="25" xfId="66" applyBorder="1" applyAlignment="1">
      <alignment vertical="center"/>
      <protection/>
    </xf>
    <xf numFmtId="0" fontId="0" fillId="0" borderId="90" xfId="61" applyBorder="1" applyAlignment="1">
      <alignment horizontal="center" vertical="center"/>
      <protection/>
    </xf>
    <xf numFmtId="0" fontId="0" fillId="0" borderId="91" xfId="61" applyBorder="1" applyAlignment="1">
      <alignment horizontal="center" vertical="center"/>
      <protection/>
    </xf>
    <xf numFmtId="0" fontId="0" fillId="0" borderId="63" xfId="61" applyBorder="1" applyAlignment="1">
      <alignment vertical="center"/>
      <protection/>
    </xf>
    <xf numFmtId="0" fontId="0" fillId="0" borderId="58" xfId="61" applyBorder="1" applyAlignment="1">
      <alignment vertical="center"/>
      <protection/>
    </xf>
    <xf numFmtId="0" fontId="0" fillId="0" borderId="24" xfId="61" applyBorder="1" applyAlignment="1">
      <alignment vertical="center"/>
      <protection/>
    </xf>
    <xf numFmtId="0" fontId="0" fillId="0" borderId="50" xfId="61" applyBorder="1" applyAlignment="1">
      <alignment vertical="center"/>
      <protection/>
    </xf>
    <xf numFmtId="0" fontId="0" fillId="0" borderId="24" xfId="61" applyBorder="1" applyAlignment="1">
      <alignment horizontal="right" vertical="center"/>
      <protection/>
    </xf>
    <xf numFmtId="0" fontId="0" fillId="0" borderId="50" xfId="61" applyBorder="1" applyAlignment="1">
      <alignment horizontal="right" vertical="center"/>
      <protection/>
    </xf>
    <xf numFmtId="0" fontId="0" fillId="0" borderId="80" xfId="61" applyBorder="1" applyAlignment="1">
      <alignment horizontal="center" vertical="center"/>
      <protection/>
    </xf>
    <xf numFmtId="0" fontId="0" fillId="0" borderId="53" xfId="61" applyBorder="1" applyAlignment="1">
      <alignment horizontal="center" vertical="center"/>
      <protection/>
    </xf>
    <xf numFmtId="0" fontId="0" fillId="0" borderId="33" xfId="61" applyFill="1" applyBorder="1" applyAlignment="1">
      <alignment horizontal="left" vertical="center"/>
      <protection/>
    </xf>
    <xf numFmtId="0" fontId="0" fillId="0" borderId="33" xfId="61" applyBorder="1" applyAlignment="1">
      <alignment horizontal="left" vertical="center"/>
      <protection/>
    </xf>
    <xf numFmtId="0" fontId="0" fillId="0" borderId="25" xfId="61" applyBorder="1" applyAlignment="1">
      <alignment horizontal="center" vertical="center"/>
      <protection/>
    </xf>
    <xf numFmtId="0" fontId="0" fillId="0" borderId="83" xfId="61" applyBorder="1" applyAlignment="1">
      <alignment horizontal="center" vertical="center"/>
      <protection/>
    </xf>
    <xf numFmtId="0" fontId="0" fillId="0" borderId="63" xfId="61" applyBorder="1" applyAlignment="1">
      <alignment horizontal="center" vertical="center"/>
      <protection/>
    </xf>
    <xf numFmtId="0" fontId="0" fillId="0" borderId="58" xfId="61" applyBorder="1" applyAlignment="1">
      <alignment horizontal="center" vertical="center"/>
      <protection/>
    </xf>
    <xf numFmtId="0" fontId="0" fillId="0" borderId="59" xfId="61" applyBorder="1" applyAlignment="1">
      <alignment horizontal="center" vertical="center"/>
      <protection/>
    </xf>
    <xf numFmtId="0" fontId="0" fillId="0" borderId="60" xfId="61" applyBorder="1" applyAlignment="1">
      <alignment horizontal="center" vertical="center"/>
      <protection/>
    </xf>
    <xf numFmtId="0" fontId="0" fillId="0" borderId="92" xfId="61" applyBorder="1" applyAlignment="1">
      <alignment horizontal="center" vertical="center"/>
      <protection/>
    </xf>
    <xf numFmtId="0" fontId="0" fillId="0" borderId="61" xfId="61" applyBorder="1" applyAlignment="1">
      <alignment horizontal="center" vertical="center"/>
      <protection/>
    </xf>
    <xf numFmtId="0" fontId="0" fillId="0" borderId="93" xfId="62" applyBorder="1" applyAlignment="1">
      <alignment horizontal="center" vertical="center"/>
      <protection/>
    </xf>
    <xf numFmtId="0" fontId="0" fillId="0" borderId="85" xfId="62" applyBorder="1" applyAlignment="1">
      <alignment horizontal="center" vertical="center"/>
      <protection/>
    </xf>
    <xf numFmtId="0" fontId="0" fillId="0" borderId="32" xfId="62" applyBorder="1" applyAlignment="1">
      <alignment horizontal="center" vertical="center"/>
      <protection/>
    </xf>
    <xf numFmtId="0" fontId="0" fillId="0" borderId="94" xfId="62" applyBorder="1" applyAlignment="1">
      <alignment horizontal="center" vertical="center"/>
      <protection/>
    </xf>
    <xf numFmtId="0" fontId="0" fillId="0" borderId="70" xfId="62" applyBorder="1" applyAlignment="1">
      <alignment horizontal="center" vertical="center"/>
      <protection/>
    </xf>
    <xf numFmtId="0" fontId="0" fillId="0" borderId="95" xfId="62" applyBorder="1" applyAlignment="1">
      <alignment horizontal="center" vertical="center"/>
      <protection/>
    </xf>
    <xf numFmtId="0" fontId="0" fillId="0" borderId="56" xfId="62" applyBorder="1" applyAlignment="1">
      <alignment horizontal="center" vertical="center"/>
      <protection/>
    </xf>
    <xf numFmtId="0" fontId="0" fillId="0" borderId="14" xfId="62" applyBorder="1" applyAlignment="1">
      <alignment horizontal="center" vertical="center"/>
      <protection/>
    </xf>
    <xf numFmtId="0" fontId="0" fillId="0" borderId="96" xfId="62" applyBorder="1" applyAlignment="1">
      <alignment horizontal="center" vertical="center"/>
      <protection/>
    </xf>
    <xf numFmtId="0" fontId="0" fillId="0" borderId="48" xfId="62" applyBorder="1" applyAlignment="1">
      <alignment horizontal="center" vertical="center"/>
      <protection/>
    </xf>
    <xf numFmtId="0" fontId="0" fillId="0" borderId="29" xfId="62" applyBorder="1" applyAlignment="1">
      <alignment horizontal="center" vertical="center"/>
      <protection/>
    </xf>
    <xf numFmtId="0" fontId="0" fillId="0" borderId="29" xfId="62" applyBorder="1" applyAlignment="1">
      <alignment horizontal="center"/>
      <protection/>
    </xf>
    <xf numFmtId="0" fontId="0" fillId="0" borderId="82" xfId="62" applyBorder="1" applyAlignment="1">
      <alignment horizontal="center" vertical="center"/>
      <protection/>
    </xf>
    <xf numFmtId="0" fontId="0" fillId="0" borderId="30" xfId="62" applyBorder="1" applyAlignment="1">
      <alignment horizontal="center" vertical="center"/>
      <protection/>
    </xf>
    <xf numFmtId="0" fontId="0" fillId="0" borderId="52" xfId="62" applyBorder="1" applyAlignment="1">
      <alignment horizontal="center" vertical="center"/>
      <protection/>
    </xf>
    <xf numFmtId="0" fontId="0" fillId="0" borderId="63" xfId="62" applyBorder="1" applyAlignment="1">
      <alignment vertical="center"/>
      <protection/>
    </xf>
    <xf numFmtId="0" fontId="0" fillId="0" borderId="24" xfId="62" applyBorder="1" applyAlignment="1">
      <alignment vertical="center"/>
      <protection/>
    </xf>
    <xf numFmtId="0" fontId="0" fillId="0" borderId="59" xfId="62" applyBorder="1" applyAlignment="1">
      <alignment vertical="center"/>
      <protection/>
    </xf>
    <xf numFmtId="0" fontId="0" fillId="0" borderId="44" xfId="61" applyFont="1" applyBorder="1" applyAlignment="1">
      <alignment horizontal="center" vertical="center"/>
      <protection/>
    </xf>
    <xf numFmtId="0" fontId="0" fillId="0" borderId="47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0" fillId="0" borderId="85" xfId="61" applyFont="1" applyBorder="1" applyAlignment="1">
      <alignment horizontal="center" vertical="center"/>
      <protection/>
    </xf>
    <xf numFmtId="0" fontId="0" fillId="0" borderId="48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53" xfId="61" applyFont="1" applyBorder="1" applyAlignment="1">
      <alignment horizontal="center" vertical="center"/>
      <protection/>
    </xf>
    <xf numFmtId="0" fontId="0" fillId="0" borderId="93" xfId="61" applyFont="1" applyBorder="1" applyAlignment="1">
      <alignment horizontal="center" vertical="center"/>
      <protection/>
    </xf>
    <xf numFmtId="0" fontId="0" fillId="0" borderId="77" xfId="61" applyFont="1" applyBorder="1" applyAlignment="1">
      <alignment horizontal="center" vertical="center"/>
      <protection/>
    </xf>
    <xf numFmtId="0" fontId="0" fillId="0" borderId="58" xfId="61" applyFont="1" applyBorder="1">
      <alignment/>
      <protection/>
    </xf>
    <xf numFmtId="0" fontId="0" fillId="0" borderId="82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52" xfId="61" applyFont="1" applyBorder="1" applyAlignment="1">
      <alignment horizontal="center" vertical="center"/>
      <protection/>
    </xf>
    <xf numFmtId="0" fontId="0" fillId="0" borderId="58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60" xfId="61" applyFont="1" applyBorder="1" applyAlignment="1">
      <alignment horizontal="center" vertical="center"/>
      <protection/>
    </xf>
    <xf numFmtId="0" fontId="0" fillId="0" borderId="82" xfId="61" applyFont="1" applyBorder="1" applyAlignment="1">
      <alignment horizontal="center" vertical="center"/>
      <protection/>
    </xf>
    <xf numFmtId="0" fontId="0" fillId="0" borderId="82" xfId="61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97" xfId="61" applyFont="1" applyFill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61" xfId="61" applyFont="1" applyBorder="1" applyAlignment="1">
      <alignment horizontal="center" vertical="center"/>
      <protection/>
    </xf>
    <xf numFmtId="0" fontId="0" fillId="0" borderId="90" xfId="63" applyFont="1" applyBorder="1" applyAlignment="1">
      <alignment horizontal="center" vertical="center"/>
      <protection/>
    </xf>
    <xf numFmtId="0" fontId="0" fillId="0" borderId="80" xfId="63" applyFont="1" applyBorder="1" applyAlignment="1">
      <alignment horizontal="center" vertical="center"/>
      <protection/>
    </xf>
    <xf numFmtId="0" fontId="0" fillId="0" borderId="44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47" xfId="63" applyFont="1" applyBorder="1" applyAlignment="1">
      <alignment horizontal="center" vertical="center"/>
      <protection/>
    </xf>
    <xf numFmtId="0" fontId="0" fillId="0" borderId="63" xfId="63" applyFont="1" applyBorder="1" applyAlignment="1">
      <alignment horizontal="center" vertical="center"/>
      <protection/>
    </xf>
    <xf numFmtId="0" fontId="0" fillId="0" borderId="82" xfId="63" applyFont="1" applyBorder="1" applyAlignment="1">
      <alignment horizontal="center" vertical="center"/>
      <protection/>
    </xf>
    <xf numFmtId="0" fontId="0" fillId="0" borderId="30" xfId="63" applyFont="1" applyBorder="1" applyAlignment="1">
      <alignment horizontal="center" vertical="center"/>
      <protection/>
    </xf>
    <xf numFmtId="0" fontId="0" fillId="0" borderId="52" xfId="63" applyFont="1" applyBorder="1" applyAlignment="1">
      <alignment horizontal="center" vertical="center"/>
      <protection/>
    </xf>
    <xf numFmtId="0" fontId="0" fillId="0" borderId="85" xfId="63" applyFont="1" applyBorder="1" applyAlignment="1">
      <alignment horizontal="center" vertical="center"/>
      <protection/>
    </xf>
    <xf numFmtId="0" fontId="0" fillId="0" borderId="30" xfId="63" applyFont="1" applyFill="1" applyBorder="1" applyAlignment="1">
      <alignment horizontal="center" vertical="center"/>
      <protection/>
    </xf>
    <xf numFmtId="0" fontId="0" fillId="0" borderId="97" xfId="63" applyFont="1" applyFill="1" applyBorder="1" applyAlignment="1">
      <alignment horizontal="center" vertical="center"/>
      <protection/>
    </xf>
    <xf numFmtId="0" fontId="0" fillId="0" borderId="44" xfId="63" applyFont="1" applyFill="1" applyBorder="1" applyAlignment="1">
      <alignment horizontal="center" vertical="center"/>
      <protection/>
    </xf>
    <xf numFmtId="0" fontId="0" fillId="0" borderId="48" xfId="63" applyFont="1" applyFill="1" applyBorder="1" applyAlignment="1">
      <alignment horizontal="center" vertical="center"/>
      <protection/>
    </xf>
    <xf numFmtId="41" fontId="0" fillId="0" borderId="21" xfId="63" applyNumberFormat="1" applyFont="1" applyFill="1" applyBorder="1" applyAlignment="1">
      <alignment horizontal="right" vertical="center"/>
      <protection/>
    </xf>
    <xf numFmtId="0" fontId="0" fillId="0" borderId="64" xfId="63" applyFont="1" applyFill="1" applyBorder="1" applyAlignment="1">
      <alignment horizontal="right" vertical="center"/>
      <protection/>
    </xf>
    <xf numFmtId="176" fontId="0" fillId="0" borderId="14" xfId="63" applyNumberFormat="1" applyFont="1" applyFill="1" applyBorder="1" applyAlignment="1">
      <alignment vertical="center"/>
      <protection/>
    </xf>
    <xf numFmtId="176" fontId="0" fillId="0" borderId="40" xfId="63" applyNumberFormat="1" applyFont="1" applyFill="1" applyBorder="1" applyAlignment="1">
      <alignment vertical="center"/>
      <protection/>
    </xf>
    <xf numFmtId="176" fontId="0" fillId="0" borderId="29" xfId="63" applyNumberFormat="1" applyFont="1" applyFill="1" applyBorder="1" applyAlignment="1">
      <alignment vertical="center"/>
      <protection/>
    </xf>
    <xf numFmtId="176" fontId="0" fillId="0" borderId="51" xfId="63" applyNumberFormat="1" applyFont="1" applyFill="1" applyBorder="1" applyAlignment="1">
      <alignment vertical="center"/>
      <protection/>
    </xf>
    <xf numFmtId="176" fontId="0" fillId="0" borderId="19" xfId="63" applyNumberFormat="1" applyFont="1" applyFill="1" applyBorder="1" applyAlignment="1">
      <alignment vertical="center"/>
      <protection/>
    </xf>
    <xf numFmtId="0" fontId="0" fillId="0" borderId="87" xfId="63" applyFont="1" applyFill="1" applyBorder="1" applyAlignment="1">
      <alignment vertical="center"/>
      <protection/>
    </xf>
    <xf numFmtId="0" fontId="0" fillId="0" borderId="47" xfId="63" applyFont="1" applyFill="1" applyBorder="1" applyAlignment="1">
      <alignment horizontal="center" vertical="center"/>
      <protection/>
    </xf>
    <xf numFmtId="0" fontId="0" fillId="0" borderId="57" xfId="63" applyFont="1" applyFill="1" applyBorder="1" applyAlignment="1">
      <alignment horizontal="center" vertical="center"/>
      <protection/>
    </xf>
    <xf numFmtId="176" fontId="0" fillId="0" borderId="48" xfId="63" applyNumberFormat="1" applyFont="1" applyFill="1" applyBorder="1" applyAlignment="1">
      <alignment vertical="center"/>
      <protection/>
    </xf>
    <xf numFmtId="176" fontId="0" fillId="0" borderId="57" xfId="63" applyNumberFormat="1" applyFont="1" applyFill="1" applyBorder="1" applyAlignment="1">
      <alignment vertical="center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84" xfId="61" applyFont="1" applyBorder="1" applyAlignment="1">
      <alignment horizontal="center" vertical="center" wrapText="1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98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 wrapText="1"/>
      <protection/>
    </xf>
    <xf numFmtId="0" fontId="0" fillId="0" borderId="98" xfId="61" applyFont="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center" vertical="center" wrapText="1"/>
      <protection/>
    </xf>
    <xf numFmtId="0" fontId="0" fillId="0" borderId="97" xfId="61" applyFont="1" applyBorder="1" applyAlignment="1">
      <alignment horizontal="center" vertical="center" wrapText="1"/>
      <protection/>
    </xf>
    <xf numFmtId="0" fontId="0" fillId="0" borderId="68" xfId="61" applyFont="1" applyBorder="1" applyAlignment="1">
      <alignment horizontal="center" vertical="center"/>
      <protection/>
    </xf>
    <xf numFmtId="0" fontId="0" fillId="0" borderId="95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99" xfId="61" applyFont="1" applyBorder="1" applyAlignment="1">
      <alignment horizontal="center" vertical="center"/>
      <protection/>
    </xf>
    <xf numFmtId="0" fontId="0" fillId="0" borderId="91" xfId="61" applyFont="1" applyBorder="1" applyAlignment="1">
      <alignment horizontal="center" vertical="center"/>
      <protection/>
    </xf>
    <xf numFmtId="0" fontId="0" fillId="0" borderId="46" xfId="61" applyFont="1" applyBorder="1" applyAlignment="1">
      <alignment horizontal="center" vertical="center"/>
      <protection/>
    </xf>
    <xf numFmtId="0" fontId="0" fillId="0" borderId="45" xfId="61" applyFont="1" applyBorder="1" applyAlignment="1">
      <alignment horizontal="center" vertical="center"/>
      <protection/>
    </xf>
    <xf numFmtId="0" fontId="0" fillId="0" borderId="46" xfId="61" applyFont="1" applyBorder="1" applyAlignment="1">
      <alignment horizontal="center" vertical="center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0" fillId="0" borderId="100" xfId="61" applyFont="1" applyFill="1" applyBorder="1" applyAlignment="1">
      <alignment horizontal="center" vertical="center"/>
      <protection/>
    </xf>
    <xf numFmtId="0" fontId="0" fillId="0" borderId="80" xfId="61" applyFont="1" applyBorder="1" applyAlignment="1">
      <alignment horizontal="center" vertical="center"/>
      <protection/>
    </xf>
    <xf numFmtId="0" fontId="0" fillId="0" borderId="92" xfId="61" applyFont="1" applyBorder="1" applyAlignment="1">
      <alignment horizontal="center" vertical="center"/>
      <protection/>
    </xf>
    <xf numFmtId="0" fontId="0" fillId="0" borderId="44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100" xfId="61" applyFont="1" applyFill="1" applyBorder="1" applyAlignment="1">
      <alignment horizontal="center" vertical="center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0" fillId="0" borderId="91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68" xfId="64" applyFont="1" applyBorder="1" applyAlignment="1">
      <alignment horizontal="center" vertical="center"/>
      <protection/>
    </xf>
    <xf numFmtId="0" fontId="0" fillId="0" borderId="95" xfId="64" applyFont="1" applyBorder="1" applyAlignment="1">
      <alignment horizontal="center" vertical="center"/>
      <protection/>
    </xf>
    <xf numFmtId="0" fontId="0" fillId="0" borderId="59" xfId="64" applyFont="1" applyBorder="1" applyAlignment="1">
      <alignment horizontal="center" vertical="center"/>
      <protection/>
    </xf>
    <xf numFmtId="0" fontId="0" fillId="0" borderId="60" xfId="64" applyFont="1" applyBorder="1" applyAlignment="1">
      <alignment horizontal="center" vertical="center"/>
      <protection/>
    </xf>
    <xf numFmtId="0" fontId="0" fillId="0" borderId="44" xfId="64" applyFont="1" applyBorder="1" applyAlignment="1">
      <alignment horizontal="center" vertical="center"/>
      <protection/>
    </xf>
    <xf numFmtId="0" fontId="0" fillId="0" borderId="44" xfId="64" applyFont="1" applyFill="1" applyBorder="1" applyAlignment="1">
      <alignment horizontal="center" vertical="center"/>
      <protection/>
    </xf>
    <xf numFmtId="0" fontId="0" fillId="0" borderId="46" xfId="64" applyFont="1" applyBorder="1" applyAlignment="1">
      <alignment horizontal="center"/>
      <protection/>
    </xf>
    <xf numFmtId="0" fontId="0" fillId="0" borderId="45" xfId="64" applyFont="1" applyBorder="1" applyAlignment="1">
      <alignment horizontal="center"/>
      <protection/>
    </xf>
    <xf numFmtId="0" fontId="0" fillId="0" borderId="46" xfId="64" applyFont="1" applyFill="1" applyBorder="1" applyAlignment="1">
      <alignment horizontal="center" vertical="center"/>
      <protection/>
    </xf>
    <xf numFmtId="0" fontId="0" fillId="0" borderId="91" xfId="64" applyFont="1" applyFill="1" applyBorder="1" applyAlignment="1">
      <alignment horizontal="center" vertical="center"/>
      <protection/>
    </xf>
    <xf numFmtId="0" fontId="0" fillId="0" borderId="91" xfId="64" applyFont="1" applyBorder="1" applyAlignment="1">
      <alignment horizontal="center"/>
      <protection/>
    </xf>
    <xf numFmtId="0" fontId="0" fillId="0" borderId="46" xfId="64" applyFont="1" applyFill="1" applyBorder="1" applyAlignment="1">
      <alignment horizontal="center"/>
      <protection/>
    </xf>
    <xf numFmtId="0" fontId="0" fillId="0" borderId="100" xfId="64" applyFont="1" applyFill="1" applyBorder="1" applyAlignment="1">
      <alignment horizontal="center"/>
      <protection/>
    </xf>
    <xf numFmtId="0" fontId="0" fillId="0" borderId="82" xfId="64" applyFont="1" applyBorder="1" applyAlignment="1">
      <alignment vertical="center"/>
      <protection/>
    </xf>
    <xf numFmtId="0" fontId="0" fillId="0" borderId="30" xfId="64" applyFont="1" applyBorder="1" applyAlignment="1">
      <alignment vertical="center"/>
      <protection/>
    </xf>
    <xf numFmtId="0" fontId="0" fillId="0" borderId="52" xfId="64" applyFont="1" applyBorder="1" applyAlignment="1">
      <alignment vertical="center"/>
      <protection/>
    </xf>
    <xf numFmtId="0" fontId="0" fillId="0" borderId="30" xfId="64" applyFont="1" applyFill="1" applyBorder="1" applyAlignment="1">
      <alignment horizontal="center" vertical="center" wrapText="1"/>
      <protection/>
    </xf>
    <xf numFmtId="0" fontId="0" fillId="0" borderId="80" xfId="64" applyFont="1" applyBorder="1" applyAlignment="1">
      <alignment horizontal="center" vertical="center"/>
      <protection/>
    </xf>
    <xf numFmtId="0" fontId="0" fillId="0" borderId="53" xfId="64" applyFont="1" applyBorder="1" applyAlignment="1">
      <alignment horizontal="center" vertical="center"/>
      <protection/>
    </xf>
    <xf numFmtId="0" fontId="0" fillId="0" borderId="92" xfId="64" applyFont="1" applyBorder="1" applyAlignment="1">
      <alignment horizontal="center" vertical="center"/>
      <protection/>
    </xf>
    <xf numFmtId="0" fontId="0" fillId="0" borderId="61" xfId="64" applyFont="1" applyBorder="1" applyAlignment="1">
      <alignment horizontal="center" vertical="center"/>
      <protection/>
    </xf>
    <xf numFmtId="0" fontId="0" fillId="0" borderId="68" xfId="65" applyFont="1" applyBorder="1" applyAlignment="1">
      <alignment horizontal="center" vertical="center"/>
      <protection/>
    </xf>
    <xf numFmtId="0" fontId="0" fillId="0" borderId="59" xfId="65" applyFont="1" applyBorder="1" applyAlignment="1">
      <alignment horizontal="center" vertical="center"/>
      <protection/>
    </xf>
    <xf numFmtId="0" fontId="0" fillId="0" borderId="56" xfId="65" applyFont="1" applyBorder="1" applyAlignment="1">
      <alignment horizontal="center" vertical="center"/>
      <protection/>
    </xf>
    <xf numFmtId="0" fontId="0" fillId="0" borderId="29" xfId="65" applyFont="1" applyBorder="1" applyAlignment="1">
      <alignment horizontal="center" vertical="center"/>
      <protection/>
    </xf>
    <xf numFmtId="0" fontId="0" fillId="0" borderId="95" xfId="65" applyFont="1" applyBorder="1" applyAlignment="1">
      <alignment horizontal="center" vertical="center"/>
      <protection/>
    </xf>
    <xf numFmtId="0" fontId="0" fillId="0" borderId="60" xfId="65" applyFont="1" applyBorder="1" applyAlignment="1">
      <alignment horizontal="center" vertical="center"/>
      <protection/>
    </xf>
    <xf numFmtId="0" fontId="0" fillId="0" borderId="44" xfId="65" applyFont="1" applyBorder="1" applyAlignment="1">
      <alignment horizontal="center" vertical="center"/>
      <protection/>
    </xf>
    <xf numFmtId="0" fontId="0" fillId="0" borderId="47" xfId="65" applyFont="1" applyBorder="1" applyAlignment="1">
      <alignment horizontal="center" vertical="center"/>
      <protection/>
    </xf>
    <xf numFmtId="0" fontId="0" fillId="0" borderId="82" xfId="65" applyFont="1" applyBorder="1" applyAlignment="1">
      <alignment horizontal="center" vertical="center"/>
      <protection/>
    </xf>
    <xf numFmtId="0" fontId="0" fillId="0" borderId="30" xfId="65" applyFont="1" applyBorder="1" applyAlignment="1">
      <alignment horizontal="center" vertical="center"/>
      <protection/>
    </xf>
    <xf numFmtId="0" fontId="0" fillId="0" borderId="82" xfId="65" applyFont="1" applyFill="1" applyBorder="1" applyAlignment="1">
      <alignment horizontal="center" vertical="center"/>
      <protection/>
    </xf>
    <xf numFmtId="0" fontId="0" fillId="0" borderId="30" xfId="65" applyFont="1" applyFill="1" applyBorder="1" applyAlignment="1">
      <alignment horizontal="center" vertical="center"/>
      <protection/>
    </xf>
    <xf numFmtId="0" fontId="0" fillId="0" borderId="97" xfId="65" applyFont="1" applyFill="1" applyBorder="1" applyAlignment="1">
      <alignment horizontal="center" vertical="center"/>
      <protection/>
    </xf>
    <xf numFmtId="0" fontId="0" fillId="0" borderId="52" xfId="65" applyFont="1" applyBorder="1" applyAlignment="1">
      <alignment horizontal="center" vertical="center"/>
      <protection/>
    </xf>
    <xf numFmtId="0" fontId="0" fillId="0" borderId="101" xfId="61" applyFont="1" applyBorder="1" applyAlignment="1">
      <alignment horizontal="center" vertical="center"/>
      <protection/>
    </xf>
    <xf numFmtId="0" fontId="0" fillId="0" borderId="56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56" xfId="61" applyFont="1" applyBorder="1" applyAlignment="1">
      <alignment horizontal="center" vertical="center" wrapText="1"/>
      <protection/>
    </xf>
    <xf numFmtId="0" fontId="0" fillId="0" borderId="100" xfId="61" applyFont="1" applyBorder="1" applyAlignment="1">
      <alignment horizontal="center" vertical="center"/>
      <protection/>
    </xf>
    <xf numFmtId="0" fontId="0" fillId="0" borderId="57" xfId="61" applyFont="1" applyBorder="1" applyAlignment="1">
      <alignment horizontal="center" vertical="center"/>
      <protection/>
    </xf>
    <xf numFmtId="0" fontId="0" fillId="0" borderId="51" xfId="61" applyFont="1" applyBorder="1" applyAlignment="1">
      <alignment horizontal="center" vertical="center"/>
      <protection/>
    </xf>
    <xf numFmtId="0" fontId="0" fillId="0" borderId="43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50" xfId="61" applyFont="1" applyBorder="1" applyAlignment="1">
      <alignment horizontal="center" vertical="center"/>
      <protection/>
    </xf>
    <xf numFmtId="41" fontId="0" fillId="0" borderId="77" xfId="61" applyNumberFormat="1" applyFont="1" applyBorder="1" applyAlignment="1">
      <alignment horizontal="right" vertical="center"/>
      <protection/>
    </xf>
    <xf numFmtId="41" fontId="0" fillId="0" borderId="58" xfId="61" applyNumberFormat="1" applyFont="1" applyBorder="1" applyAlignment="1">
      <alignment horizontal="right" vertical="center"/>
      <protection/>
    </xf>
    <xf numFmtId="41" fontId="0" fillId="0" borderId="17" xfId="61" applyNumberFormat="1" applyFont="1" applyBorder="1" applyAlignment="1">
      <alignment horizontal="right" vertical="center"/>
      <protection/>
    </xf>
    <xf numFmtId="41" fontId="0" fillId="0" borderId="53" xfId="61" applyNumberFormat="1" applyFont="1" applyBorder="1" applyAlignment="1">
      <alignment horizontal="right" vertical="center"/>
      <protection/>
    </xf>
    <xf numFmtId="41" fontId="0" fillId="0" borderId="17" xfId="61" applyNumberFormat="1" applyFont="1" applyBorder="1" applyAlignment="1">
      <alignment horizontal="center" vertical="center"/>
      <protection/>
    </xf>
    <xf numFmtId="41" fontId="0" fillId="0" borderId="53" xfId="61" applyNumberFormat="1" applyFont="1" applyBorder="1" applyAlignment="1">
      <alignment horizontal="center" vertical="center"/>
      <protection/>
    </xf>
    <xf numFmtId="41" fontId="0" fillId="0" borderId="17" xfId="61" applyNumberFormat="1" applyFont="1" applyFill="1" applyBorder="1" applyAlignment="1">
      <alignment horizontal="right" vertical="center"/>
      <protection/>
    </xf>
    <xf numFmtId="41" fontId="0" fillId="0" borderId="53" xfId="61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_統計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showGridLines="0"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22.5" customHeight="1"/>
  <cols>
    <col min="1" max="1" width="10.50390625" style="2" customWidth="1"/>
    <col min="2" max="2" width="15.25390625" style="2" customWidth="1"/>
    <col min="3" max="14" width="11.125" style="2" hidden="1" customWidth="1"/>
    <col min="15" max="15" width="11.25390625" style="2" hidden="1" customWidth="1"/>
    <col min="16" max="20" width="11.25390625" style="2" customWidth="1"/>
    <col min="21" max="21" width="11.375" style="2" customWidth="1"/>
    <col min="22" max="16384" width="9.00390625" style="2" customWidth="1"/>
  </cols>
  <sheetData>
    <row r="1" ht="27" customHeight="1">
      <c r="A1" s="1" t="s">
        <v>364</v>
      </c>
    </row>
    <row r="2" ht="27" customHeight="1">
      <c r="A2" s="1" t="s">
        <v>44</v>
      </c>
    </row>
    <row r="3" spans="1:20" ht="27" customHeight="1" thickBot="1">
      <c r="A3" s="3"/>
      <c r="C3" s="6"/>
      <c r="D3" s="6"/>
      <c r="E3" s="6"/>
      <c r="F3" s="6"/>
      <c r="G3" s="43"/>
      <c r="H3" s="43"/>
      <c r="I3" s="43"/>
      <c r="J3" s="43"/>
      <c r="L3" s="43"/>
      <c r="M3" s="43"/>
      <c r="N3" s="43"/>
      <c r="O3" s="65"/>
      <c r="P3" s="65"/>
      <c r="Q3" s="65"/>
      <c r="R3" s="65"/>
      <c r="S3" s="65"/>
      <c r="T3" s="65" t="s">
        <v>24</v>
      </c>
    </row>
    <row r="4" spans="1:20" ht="22.5" customHeight="1">
      <c r="A4" s="794" t="s">
        <v>13</v>
      </c>
      <c r="B4" s="795"/>
      <c r="C4" s="40" t="s">
        <v>16</v>
      </c>
      <c r="D4" s="41" t="s">
        <v>17</v>
      </c>
      <c r="E4" s="41" t="s">
        <v>18</v>
      </c>
      <c r="F4" s="41" t="s">
        <v>19</v>
      </c>
      <c r="G4" s="44" t="s">
        <v>20</v>
      </c>
      <c r="H4" s="44" t="s">
        <v>21</v>
      </c>
      <c r="I4" s="44" t="s">
        <v>22</v>
      </c>
      <c r="J4" s="67" t="s">
        <v>33</v>
      </c>
      <c r="K4" s="44" t="s">
        <v>23</v>
      </c>
      <c r="L4" s="44" t="s">
        <v>26</v>
      </c>
      <c r="M4" s="53" t="s">
        <v>27</v>
      </c>
      <c r="N4" s="53" t="s">
        <v>28</v>
      </c>
      <c r="O4" s="40" t="s">
        <v>30</v>
      </c>
      <c r="P4" s="78" t="s">
        <v>34</v>
      </c>
      <c r="Q4" s="78" t="s">
        <v>36</v>
      </c>
      <c r="R4" s="78" t="s">
        <v>40</v>
      </c>
      <c r="S4" s="78" t="s">
        <v>38</v>
      </c>
      <c r="T4" s="89" t="s">
        <v>43</v>
      </c>
    </row>
    <row r="5" spans="1:20" ht="22.5" customHeight="1">
      <c r="A5" s="39"/>
      <c r="B5" s="37" t="s">
        <v>0</v>
      </c>
      <c r="C5" s="17">
        <v>36796</v>
      </c>
      <c r="D5" s="10">
        <v>36843</v>
      </c>
      <c r="E5" s="10">
        <v>38029</v>
      </c>
      <c r="F5" s="10">
        <v>34663</v>
      </c>
      <c r="G5" s="45">
        <v>34440</v>
      </c>
      <c r="H5" s="49">
        <v>34372</v>
      </c>
      <c r="I5" s="45">
        <v>34387</v>
      </c>
      <c r="J5" s="54">
        <v>34264</v>
      </c>
      <c r="K5" s="45">
        <v>34225</v>
      </c>
      <c r="L5" s="45">
        <v>34149</v>
      </c>
      <c r="M5" s="49">
        <v>34163</v>
      </c>
      <c r="N5" s="49">
        <v>33961</v>
      </c>
      <c r="O5" s="83">
        <v>33806</v>
      </c>
      <c r="P5" s="79">
        <v>33648</v>
      </c>
      <c r="Q5" s="79">
        <v>33309</v>
      </c>
      <c r="R5" s="79">
        <v>33083</v>
      </c>
      <c r="S5" s="79">
        <v>32801</v>
      </c>
      <c r="T5" s="86">
        <v>32667</v>
      </c>
    </row>
    <row r="6" spans="1:20" ht="22.5" customHeight="1">
      <c r="A6" s="22"/>
      <c r="B6" s="37" t="s">
        <v>1</v>
      </c>
      <c r="C6" s="10">
        <v>34129</v>
      </c>
      <c r="D6" s="10">
        <v>34239</v>
      </c>
      <c r="E6" s="10">
        <v>35229</v>
      </c>
      <c r="F6" s="10">
        <v>33425</v>
      </c>
      <c r="G6" s="45">
        <v>33267</v>
      </c>
      <c r="H6" s="45">
        <v>33059</v>
      </c>
      <c r="I6" s="45">
        <v>32834</v>
      </c>
      <c r="J6" s="54">
        <v>32654</v>
      </c>
      <c r="K6" s="45">
        <v>32453</v>
      </c>
      <c r="L6" s="45">
        <v>32333</v>
      </c>
      <c r="M6" s="45">
        <v>32194</v>
      </c>
      <c r="N6" s="45">
        <v>32061</v>
      </c>
      <c r="O6" s="84">
        <v>31837</v>
      </c>
      <c r="P6" s="79">
        <v>31579</v>
      </c>
      <c r="Q6" s="79">
        <v>31291</v>
      </c>
      <c r="R6" s="79">
        <v>31012</v>
      </c>
      <c r="S6" s="79">
        <v>30716</v>
      </c>
      <c r="T6" s="86">
        <v>30382</v>
      </c>
    </row>
    <row r="7" spans="1:20" ht="22.5" customHeight="1">
      <c r="A7" s="29" t="s">
        <v>12</v>
      </c>
      <c r="B7" s="37" t="s">
        <v>2</v>
      </c>
      <c r="C7" s="17">
        <v>73528</v>
      </c>
      <c r="D7" s="10">
        <v>74898</v>
      </c>
      <c r="E7" s="10">
        <v>78191</v>
      </c>
      <c r="F7" s="10">
        <v>84265</v>
      </c>
      <c r="G7" s="45">
        <v>85786</v>
      </c>
      <c r="H7" s="45">
        <v>86927</v>
      </c>
      <c r="I7" s="45">
        <v>87926</v>
      </c>
      <c r="J7" s="54">
        <v>88887</v>
      </c>
      <c r="K7" s="45">
        <v>89821</v>
      </c>
      <c r="L7" s="45">
        <v>90919</v>
      </c>
      <c r="M7" s="45">
        <v>91946</v>
      </c>
      <c r="N7" s="45">
        <v>93082</v>
      </c>
      <c r="O7" s="84">
        <v>94089</v>
      </c>
      <c r="P7" s="79">
        <v>95252</v>
      </c>
      <c r="Q7" s="79">
        <v>96524</v>
      </c>
      <c r="R7" s="79">
        <v>97240</v>
      </c>
      <c r="S7" s="79">
        <v>98399</v>
      </c>
      <c r="T7" s="86">
        <v>99736</v>
      </c>
    </row>
    <row r="8" spans="1:37" ht="22.5" customHeight="1">
      <c r="A8" s="22"/>
      <c r="B8" s="34" t="s">
        <v>15</v>
      </c>
      <c r="C8" s="36">
        <v>1942</v>
      </c>
      <c r="D8" s="35">
        <v>1922</v>
      </c>
      <c r="E8" s="35">
        <v>1994</v>
      </c>
      <c r="F8" s="35">
        <v>1990</v>
      </c>
      <c r="G8" s="46">
        <v>1825</v>
      </c>
      <c r="H8" s="46">
        <v>1817</v>
      </c>
      <c r="I8" s="46">
        <v>1805</v>
      </c>
      <c r="J8" s="55">
        <v>1751</v>
      </c>
      <c r="K8" s="46">
        <v>1743</v>
      </c>
      <c r="L8" s="46">
        <v>1725</v>
      </c>
      <c r="M8" s="46">
        <v>1731</v>
      </c>
      <c r="N8" s="46">
        <v>1726</v>
      </c>
      <c r="O8" s="85">
        <v>1735</v>
      </c>
      <c r="P8" s="79">
        <v>1785</v>
      </c>
      <c r="Q8" s="79">
        <v>1833</v>
      </c>
      <c r="R8" s="79">
        <v>1839</v>
      </c>
      <c r="S8" s="79">
        <v>1871</v>
      </c>
      <c r="T8" s="86">
        <v>1713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37" ht="22.5" customHeight="1">
      <c r="A9" s="22"/>
      <c r="B9" s="25" t="s">
        <v>3</v>
      </c>
      <c r="C9" s="13">
        <f aca="true" t="shared" si="0" ref="C9:I9">SUM(C5:C8)</f>
        <v>146395</v>
      </c>
      <c r="D9" s="4">
        <f t="shared" si="0"/>
        <v>147902</v>
      </c>
      <c r="E9" s="4">
        <f t="shared" si="0"/>
        <v>153443</v>
      </c>
      <c r="F9" s="4">
        <f t="shared" si="0"/>
        <v>154343</v>
      </c>
      <c r="G9" s="47">
        <f t="shared" si="0"/>
        <v>155318</v>
      </c>
      <c r="H9" s="47">
        <f t="shared" si="0"/>
        <v>156175</v>
      </c>
      <c r="I9" s="47">
        <f t="shared" si="0"/>
        <v>156952</v>
      </c>
      <c r="J9" s="56">
        <f>SUM(J5:J8)</f>
        <v>157556</v>
      </c>
      <c r="K9" s="47">
        <v>158242</v>
      </c>
      <c r="L9" s="47">
        <v>159126</v>
      </c>
      <c r="M9" s="56">
        <v>160034</v>
      </c>
      <c r="N9" s="56">
        <v>160830</v>
      </c>
      <c r="O9" s="69">
        <f aca="true" t="shared" si="1" ref="O9:T9">SUM(O5:O8)</f>
        <v>161467</v>
      </c>
      <c r="P9" s="69">
        <f t="shared" si="1"/>
        <v>162264</v>
      </c>
      <c r="Q9" s="69">
        <f t="shared" si="1"/>
        <v>162957</v>
      </c>
      <c r="R9" s="69">
        <f t="shared" si="1"/>
        <v>163174</v>
      </c>
      <c r="S9" s="69">
        <f t="shared" si="1"/>
        <v>163787</v>
      </c>
      <c r="T9" s="75">
        <f t="shared" si="1"/>
        <v>164498</v>
      </c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</row>
    <row r="10" spans="1:37" ht="22.5" customHeight="1">
      <c r="A10" s="23"/>
      <c r="B10" s="26" t="s">
        <v>4</v>
      </c>
      <c r="C10" s="14">
        <v>100.7</v>
      </c>
      <c r="D10" s="8">
        <f aca="true" t="shared" si="2" ref="D10:I10">ROUND((D9/C9)*100,1)</f>
        <v>101</v>
      </c>
      <c r="E10" s="8">
        <f t="shared" si="2"/>
        <v>103.7</v>
      </c>
      <c r="F10" s="8">
        <f>ROUND((F9/E9)*100,1)</f>
        <v>100.6</v>
      </c>
      <c r="G10" s="48">
        <f t="shared" si="2"/>
        <v>100.6</v>
      </c>
      <c r="H10" s="48">
        <f t="shared" si="2"/>
        <v>100.6</v>
      </c>
      <c r="I10" s="48">
        <f t="shared" si="2"/>
        <v>100.5</v>
      </c>
      <c r="J10" s="57">
        <f aca="true" t="shared" si="3" ref="J10:P10">ROUND((J9/I9)*100,1)</f>
        <v>100.4</v>
      </c>
      <c r="K10" s="48">
        <f t="shared" si="3"/>
        <v>100.4</v>
      </c>
      <c r="L10" s="48">
        <f t="shared" si="3"/>
        <v>100.6</v>
      </c>
      <c r="M10" s="57">
        <f t="shared" si="3"/>
        <v>100.6</v>
      </c>
      <c r="N10" s="57">
        <f t="shared" si="3"/>
        <v>100.5</v>
      </c>
      <c r="O10" s="70">
        <f t="shared" si="3"/>
        <v>100.4</v>
      </c>
      <c r="P10" s="70">
        <f t="shared" si="3"/>
        <v>100.5</v>
      </c>
      <c r="Q10" s="70">
        <f>ROUND((Q9/P9)*100,1)</f>
        <v>100.4</v>
      </c>
      <c r="R10" s="70">
        <f>ROUND((R9/Q9)*100,1)</f>
        <v>100.1</v>
      </c>
      <c r="S10" s="70">
        <f>ROUND((S9/R9)*100,1)</f>
        <v>100.4</v>
      </c>
      <c r="T10" s="76">
        <f>ROUND((T9/S9)*100,1)</f>
        <v>100.4</v>
      </c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</row>
    <row r="11" spans="1:37" ht="22.5" customHeight="1">
      <c r="A11" s="24"/>
      <c r="B11" s="32" t="s">
        <v>0</v>
      </c>
      <c r="C11" s="16">
        <v>33629</v>
      </c>
      <c r="D11" s="9">
        <v>33719</v>
      </c>
      <c r="E11" s="9">
        <v>33070</v>
      </c>
      <c r="F11" s="9">
        <v>30419</v>
      </c>
      <c r="G11" s="49">
        <v>30233</v>
      </c>
      <c r="H11" s="49">
        <v>30192</v>
      </c>
      <c r="I11" s="49">
        <v>30216</v>
      </c>
      <c r="J11" s="58">
        <v>31136</v>
      </c>
      <c r="K11" s="49">
        <v>31118</v>
      </c>
      <c r="L11" s="49">
        <v>31051</v>
      </c>
      <c r="M11" s="49">
        <v>31074</v>
      </c>
      <c r="N11" s="49">
        <v>30890</v>
      </c>
      <c r="O11" s="68">
        <v>30793</v>
      </c>
      <c r="P11" s="79">
        <v>30658</v>
      </c>
      <c r="Q11" s="79">
        <v>30385</v>
      </c>
      <c r="R11" s="79">
        <v>30220</v>
      </c>
      <c r="S11" s="79">
        <v>29978</v>
      </c>
      <c r="T11" s="86">
        <v>29818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</row>
    <row r="12" spans="1:37" ht="22.5" customHeight="1">
      <c r="A12" s="22"/>
      <c r="B12" s="30" t="s">
        <v>1</v>
      </c>
      <c r="C12" s="17">
        <v>31240</v>
      </c>
      <c r="D12" s="10">
        <v>31408</v>
      </c>
      <c r="E12" s="10">
        <v>30647</v>
      </c>
      <c r="F12" s="10">
        <v>30087</v>
      </c>
      <c r="G12" s="45">
        <v>29976</v>
      </c>
      <c r="H12" s="45">
        <v>29772</v>
      </c>
      <c r="I12" s="45">
        <v>29559</v>
      </c>
      <c r="J12" s="54">
        <v>30324</v>
      </c>
      <c r="K12" s="45">
        <v>30163</v>
      </c>
      <c r="L12" s="45">
        <v>30056</v>
      </c>
      <c r="M12" s="45">
        <v>29931</v>
      </c>
      <c r="N12" s="45">
        <v>29788</v>
      </c>
      <c r="O12" s="68">
        <v>29586</v>
      </c>
      <c r="P12" s="79">
        <v>29358</v>
      </c>
      <c r="Q12" s="79">
        <v>29096</v>
      </c>
      <c r="R12" s="79">
        <v>28870</v>
      </c>
      <c r="S12" s="79">
        <v>28609</v>
      </c>
      <c r="T12" s="86">
        <v>28208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</row>
    <row r="13" spans="1:37" ht="22.5" customHeight="1">
      <c r="A13" s="29" t="s">
        <v>10</v>
      </c>
      <c r="B13" s="38" t="s">
        <v>11</v>
      </c>
      <c r="C13" s="35">
        <v>66020</v>
      </c>
      <c r="D13" s="35">
        <v>67294</v>
      </c>
      <c r="E13" s="35">
        <v>69590</v>
      </c>
      <c r="F13" s="35">
        <v>73584</v>
      </c>
      <c r="G13" s="46">
        <v>75005</v>
      </c>
      <c r="H13" s="46">
        <v>76038</v>
      </c>
      <c r="I13" s="46">
        <v>77003</v>
      </c>
      <c r="J13" s="55">
        <v>80181</v>
      </c>
      <c r="K13" s="46">
        <v>81069</v>
      </c>
      <c r="L13" s="46">
        <v>82140</v>
      </c>
      <c r="M13" s="45">
        <v>83110</v>
      </c>
      <c r="N13" s="45">
        <v>84197</v>
      </c>
      <c r="O13" s="68">
        <v>85160</v>
      </c>
      <c r="P13" s="79">
        <v>86294</v>
      </c>
      <c r="Q13" s="79">
        <v>87530</v>
      </c>
      <c r="R13" s="79">
        <v>88533</v>
      </c>
      <c r="S13" s="79">
        <v>89606</v>
      </c>
      <c r="T13" s="86">
        <v>90805</v>
      </c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</row>
    <row r="14" spans="1:37" ht="22.5" customHeight="1">
      <c r="A14" s="20"/>
      <c r="B14" s="27" t="s">
        <v>3</v>
      </c>
      <c r="C14" s="13">
        <f aca="true" t="shared" si="4" ref="C14:I14">SUM(C11:C13)</f>
        <v>130889</v>
      </c>
      <c r="D14" s="4">
        <f t="shared" si="4"/>
        <v>132421</v>
      </c>
      <c r="E14" s="4">
        <f t="shared" si="4"/>
        <v>133307</v>
      </c>
      <c r="F14" s="4">
        <f t="shared" si="4"/>
        <v>134090</v>
      </c>
      <c r="G14" s="47">
        <f t="shared" si="4"/>
        <v>135214</v>
      </c>
      <c r="H14" s="47">
        <f t="shared" si="4"/>
        <v>136002</v>
      </c>
      <c r="I14" s="47">
        <f t="shared" si="4"/>
        <v>136778</v>
      </c>
      <c r="J14" s="56">
        <f>SUM(J11:J13)</f>
        <v>141641</v>
      </c>
      <c r="K14" s="47">
        <v>142350</v>
      </c>
      <c r="L14" s="47">
        <v>143247</v>
      </c>
      <c r="M14" s="47">
        <v>144115</v>
      </c>
      <c r="N14" s="47">
        <v>144875</v>
      </c>
      <c r="O14" s="71">
        <f aca="true" t="shared" si="5" ref="O14:T14">SUM(O11:O13)</f>
        <v>145539</v>
      </c>
      <c r="P14" s="69">
        <f t="shared" si="5"/>
        <v>146310</v>
      </c>
      <c r="Q14" s="69">
        <f t="shared" si="5"/>
        <v>147011</v>
      </c>
      <c r="R14" s="69">
        <f t="shared" si="5"/>
        <v>147623</v>
      </c>
      <c r="S14" s="69">
        <f t="shared" si="5"/>
        <v>148193</v>
      </c>
      <c r="T14" s="75">
        <f t="shared" si="5"/>
        <v>148831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</row>
    <row r="15" spans="1:37" ht="22.5" customHeight="1" thickBot="1">
      <c r="A15" s="21"/>
      <c r="B15" s="28" t="s">
        <v>4</v>
      </c>
      <c r="C15" s="15">
        <v>100.9</v>
      </c>
      <c r="D15" s="5">
        <f aca="true" t="shared" si="6" ref="D15:I15">ROUND((D14/C14)*100,1)</f>
        <v>101.2</v>
      </c>
      <c r="E15" s="5">
        <f t="shared" si="6"/>
        <v>100.7</v>
      </c>
      <c r="F15" s="5">
        <f>ROUND((F14/E14)*100,1)</f>
        <v>100.6</v>
      </c>
      <c r="G15" s="50">
        <f t="shared" si="6"/>
        <v>100.8</v>
      </c>
      <c r="H15" s="50">
        <f t="shared" si="6"/>
        <v>100.6</v>
      </c>
      <c r="I15" s="50">
        <f t="shared" si="6"/>
        <v>100.6</v>
      </c>
      <c r="J15" s="59">
        <f aca="true" t="shared" si="7" ref="J15:Q15">ROUND((J14/I14)*100,1)</f>
        <v>103.6</v>
      </c>
      <c r="K15" s="50">
        <f t="shared" si="7"/>
        <v>100.5</v>
      </c>
      <c r="L15" s="50">
        <f t="shared" si="7"/>
        <v>100.6</v>
      </c>
      <c r="M15" s="66">
        <f t="shared" si="7"/>
        <v>100.6</v>
      </c>
      <c r="N15" s="66">
        <f t="shared" si="7"/>
        <v>100.5</v>
      </c>
      <c r="O15" s="72">
        <f t="shared" si="7"/>
        <v>100.5</v>
      </c>
      <c r="P15" s="80">
        <f t="shared" si="7"/>
        <v>100.5</v>
      </c>
      <c r="Q15" s="80">
        <f t="shared" si="7"/>
        <v>100.5</v>
      </c>
      <c r="R15" s="80">
        <f>ROUND((R14/Q14)*100,1)</f>
        <v>100.4</v>
      </c>
      <c r="S15" s="80">
        <f>ROUND((S14/R14)*100,1)</f>
        <v>100.4</v>
      </c>
      <c r="T15" s="77">
        <f>ROUND((T14/S14)*100,1)</f>
        <v>100.4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14" ht="22.5" customHeight="1">
      <c r="A16" s="7"/>
      <c r="G16" s="42"/>
      <c r="H16" s="42"/>
      <c r="I16" s="42"/>
      <c r="J16" s="42"/>
      <c r="K16" s="62"/>
      <c r="L16" s="42"/>
      <c r="M16" s="42"/>
      <c r="N16" s="42"/>
    </row>
    <row r="17" spans="1:14" ht="22.5" customHeight="1">
      <c r="A17" s="7"/>
      <c r="G17" s="42"/>
      <c r="H17" s="42"/>
      <c r="I17" s="42"/>
      <c r="J17" s="42"/>
      <c r="K17" s="63"/>
      <c r="L17" s="42"/>
      <c r="M17" s="42"/>
      <c r="N17" s="42"/>
    </row>
    <row r="18" spans="7:14" ht="22.5" customHeight="1">
      <c r="G18" s="42"/>
      <c r="H18" s="42"/>
      <c r="I18" s="42"/>
      <c r="J18" s="42"/>
      <c r="K18" s="63"/>
      <c r="L18" s="42"/>
      <c r="M18" s="42"/>
      <c r="N18" s="42"/>
    </row>
    <row r="19" spans="1:14" ht="22.5" customHeight="1">
      <c r="A19" s="2" t="s">
        <v>5</v>
      </c>
      <c r="G19" s="42"/>
      <c r="H19" s="42"/>
      <c r="I19" s="42"/>
      <c r="J19" s="42"/>
      <c r="K19" s="63"/>
      <c r="L19" s="42"/>
      <c r="M19" s="42"/>
      <c r="N19" s="42"/>
    </row>
    <row r="20" spans="3:20" ht="22.5" customHeight="1" thickBot="1">
      <c r="C20" s="6"/>
      <c r="D20" s="6"/>
      <c r="E20" s="6"/>
      <c r="F20" s="6"/>
      <c r="G20" s="43"/>
      <c r="H20" s="43"/>
      <c r="I20" s="43"/>
      <c r="J20" s="43"/>
      <c r="K20" s="64"/>
      <c r="L20" s="43"/>
      <c r="M20" s="43"/>
      <c r="N20" s="43"/>
      <c r="O20" s="65"/>
      <c r="P20" s="65"/>
      <c r="Q20" s="65"/>
      <c r="R20" s="65"/>
      <c r="S20" s="65"/>
      <c r="T20" s="65" t="s">
        <v>25</v>
      </c>
    </row>
    <row r="21" spans="1:20" ht="22.5" customHeight="1">
      <c r="A21" s="792" t="s">
        <v>14</v>
      </c>
      <c r="B21" s="793"/>
      <c r="C21" s="40" t="s">
        <v>16</v>
      </c>
      <c r="D21" s="41" t="s">
        <v>17</v>
      </c>
      <c r="E21" s="41" t="s">
        <v>18</v>
      </c>
      <c r="F21" s="41" t="s">
        <v>19</v>
      </c>
      <c r="G21" s="44" t="s">
        <v>20</v>
      </c>
      <c r="H21" s="44" t="s">
        <v>21</v>
      </c>
      <c r="I21" s="44" t="s">
        <v>22</v>
      </c>
      <c r="J21" s="67" t="s">
        <v>33</v>
      </c>
      <c r="K21" s="44" t="s">
        <v>23</v>
      </c>
      <c r="L21" s="44" t="s">
        <v>26</v>
      </c>
      <c r="M21" s="53" t="s">
        <v>29</v>
      </c>
      <c r="N21" s="53" t="s">
        <v>31</v>
      </c>
      <c r="O21" s="40" t="s">
        <v>32</v>
      </c>
      <c r="P21" s="40" t="s">
        <v>35</v>
      </c>
      <c r="Q21" s="78" t="s">
        <v>37</v>
      </c>
      <c r="R21" s="78" t="s">
        <v>41</v>
      </c>
      <c r="S21" s="78" t="s">
        <v>39</v>
      </c>
      <c r="T21" s="89" t="s">
        <v>42</v>
      </c>
    </row>
    <row r="22" spans="1:20" ht="22.5" customHeight="1">
      <c r="A22" s="796" t="s">
        <v>6</v>
      </c>
      <c r="B22" s="30" t="s">
        <v>7</v>
      </c>
      <c r="C22" s="17">
        <v>109963</v>
      </c>
      <c r="D22" s="10">
        <v>111266</v>
      </c>
      <c r="E22" s="10">
        <v>115763</v>
      </c>
      <c r="F22" s="10">
        <v>116811</v>
      </c>
      <c r="G22" s="45">
        <v>118099</v>
      </c>
      <c r="H22" s="45">
        <v>119157</v>
      </c>
      <c r="I22" s="45">
        <v>120176</v>
      </c>
      <c r="J22" s="54">
        <v>120992</v>
      </c>
      <c r="K22" s="45">
        <v>121811</v>
      </c>
      <c r="L22" s="45">
        <v>122771</v>
      </c>
      <c r="M22" s="49">
        <v>116809</v>
      </c>
      <c r="N22" s="49">
        <v>117464</v>
      </c>
      <c r="O22" s="68">
        <v>118246</v>
      </c>
      <c r="P22" s="79">
        <v>119064</v>
      </c>
      <c r="Q22" s="79">
        <v>119623</v>
      </c>
      <c r="R22" s="79">
        <v>120415</v>
      </c>
      <c r="S22" s="79">
        <v>121059</v>
      </c>
      <c r="T22" s="86">
        <v>121823</v>
      </c>
    </row>
    <row r="23" spans="1:20" ht="22.5" customHeight="1">
      <c r="A23" s="796"/>
      <c r="B23" s="30" t="s">
        <v>8</v>
      </c>
      <c r="C23" s="10">
        <v>107615</v>
      </c>
      <c r="D23" s="10">
        <v>109005</v>
      </c>
      <c r="E23" s="10">
        <v>113350</v>
      </c>
      <c r="F23" s="10">
        <v>114383</v>
      </c>
      <c r="G23" s="45">
        <v>116100</v>
      </c>
      <c r="H23" s="45">
        <v>117073</v>
      </c>
      <c r="I23" s="45">
        <v>117962</v>
      </c>
      <c r="J23" s="54">
        <v>118857</v>
      </c>
      <c r="K23" s="45">
        <v>119656</v>
      </c>
      <c r="L23" s="45">
        <v>120729</v>
      </c>
      <c r="M23" s="45">
        <v>121735</v>
      </c>
      <c r="N23" s="45">
        <v>122779</v>
      </c>
      <c r="O23" s="68">
        <v>123669</v>
      </c>
      <c r="P23" s="79">
        <v>124625</v>
      </c>
      <c r="Q23" s="79">
        <v>125632</v>
      </c>
      <c r="R23" s="79">
        <v>126485</v>
      </c>
      <c r="S23" s="79">
        <v>127311</v>
      </c>
      <c r="T23" s="86">
        <v>127782</v>
      </c>
    </row>
    <row r="24" spans="1:20" ht="22.5" customHeight="1">
      <c r="A24" s="797"/>
      <c r="B24" s="31" t="s">
        <v>9</v>
      </c>
      <c r="C24" s="18">
        <v>3663</v>
      </c>
      <c r="D24" s="11">
        <v>3683</v>
      </c>
      <c r="E24" s="11">
        <v>3875</v>
      </c>
      <c r="F24" s="11">
        <v>3927</v>
      </c>
      <c r="G24" s="51">
        <v>3849</v>
      </c>
      <c r="H24" s="51">
        <v>3881</v>
      </c>
      <c r="I24" s="51">
        <v>3878</v>
      </c>
      <c r="J24" s="60">
        <v>3888</v>
      </c>
      <c r="K24" s="51">
        <v>3966</v>
      </c>
      <c r="L24" s="51">
        <v>3989</v>
      </c>
      <c r="M24" s="51">
        <v>4091</v>
      </c>
      <c r="N24" s="51">
        <v>4194</v>
      </c>
      <c r="O24" s="73">
        <v>4308</v>
      </c>
      <c r="P24" s="81">
        <v>4423</v>
      </c>
      <c r="Q24" s="81">
        <v>4587</v>
      </c>
      <c r="R24" s="81">
        <v>4734</v>
      </c>
      <c r="S24" s="81">
        <v>4927</v>
      </c>
      <c r="T24" s="87">
        <v>4557</v>
      </c>
    </row>
    <row r="25" spans="1:20" ht="22.5" customHeight="1">
      <c r="A25" s="798" t="s">
        <v>10</v>
      </c>
      <c r="B25" s="32" t="s">
        <v>7</v>
      </c>
      <c r="C25" s="16">
        <v>99649</v>
      </c>
      <c r="D25" s="9">
        <v>101013</v>
      </c>
      <c r="E25" s="9">
        <v>101996</v>
      </c>
      <c r="F25" s="9">
        <v>102921</v>
      </c>
      <c r="G25" s="49">
        <v>104148</v>
      </c>
      <c r="H25" s="49">
        <v>105143</v>
      </c>
      <c r="I25" s="49">
        <v>106153</v>
      </c>
      <c r="J25" s="58">
        <v>110202</v>
      </c>
      <c r="K25" s="49">
        <v>111039</v>
      </c>
      <c r="L25" s="49">
        <v>112011</v>
      </c>
      <c r="M25" s="45">
        <v>106105</v>
      </c>
      <c r="N25" s="45">
        <v>106742</v>
      </c>
      <c r="O25" s="68">
        <v>107539</v>
      </c>
      <c r="P25" s="79">
        <v>108356</v>
      </c>
      <c r="Q25" s="79">
        <v>109003</v>
      </c>
      <c r="R25" s="79">
        <v>109799</v>
      </c>
      <c r="S25" s="79">
        <v>110459</v>
      </c>
      <c r="T25" s="86">
        <v>111248</v>
      </c>
    </row>
    <row r="26" spans="1:20" ht="22.5" customHeight="1" thickBot="1">
      <c r="A26" s="799"/>
      <c r="B26" s="33" t="s">
        <v>8</v>
      </c>
      <c r="C26" s="19">
        <v>97260</v>
      </c>
      <c r="D26" s="12">
        <v>98702</v>
      </c>
      <c r="E26" s="12">
        <v>99710</v>
      </c>
      <c r="F26" s="12">
        <v>100662</v>
      </c>
      <c r="G26" s="52">
        <v>102218</v>
      </c>
      <c r="H26" s="52">
        <v>103115</v>
      </c>
      <c r="I26" s="52">
        <v>103964</v>
      </c>
      <c r="J26" s="61">
        <v>107941</v>
      </c>
      <c r="K26" s="52">
        <v>108761</v>
      </c>
      <c r="L26" s="52">
        <v>109813</v>
      </c>
      <c r="M26" s="52">
        <v>110769</v>
      </c>
      <c r="N26" s="52">
        <v>111772</v>
      </c>
      <c r="O26" s="74">
        <v>112643</v>
      </c>
      <c r="P26" s="82">
        <v>113609</v>
      </c>
      <c r="Q26" s="82">
        <v>114613</v>
      </c>
      <c r="R26" s="82">
        <v>115447</v>
      </c>
      <c r="S26" s="82">
        <v>116293</v>
      </c>
      <c r="T26" s="88">
        <v>116791</v>
      </c>
    </row>
    <row r="27" spans="1:11" ht="22.5" customHeight="1">
      <c r="A27" s="7"/>
      <c r="G27" s="42"/>
      <c r="H27" s="42"/>
      <c r="I27" s="42"/>
      <c r="J27" s="42"/>
      <c r="K27" s="42"/>
    </row>
    <row r="28" spans="7:11" ht="22.5" customHeight="1">
      <c r="G28" s="42"/>
      <c r="H28" s="42"/>
      <c r="I28" s="42"/>
      <c r="J28" s="42"/>
      <c r="K28" s="42"/>
    </row>
    <row r="29" spans="7:11" ht="22.5" customHeight="1">
      <c r="G29" s="42"/>
      <c r="H29" s="42"/>
      <c r="I29" s="42"/>
      <c r="J29" s="42"/>
      <c r="K29" s="42"/>
    </row>
  </sheetData>
  <sheetProtection/>
  <mergeCells count="4">
    <mergeCell ref="A21:B21"/>
    <mergeCell ref="A4:B4"/>
    <mergeCell ref="A22:A24"/>
    <mergeCell ref="A25:A26"/>
  </mergeCells>
  <printOptions horizontalCentered="1"/>
  <pageMargins left="0.5905511811023623" right="0.5905511811023623" top="0.3937007874015748" bottom="0.1968503937007874" header="0.5905511811023623" footer="0.1968503937007874"/>
  <pageSetup horizontalDpi="300" verticalDpi="300" orientation="portrait" paperSize="9" scale="110" r:id="rId1"/>
  <headerFooter alignWithMargins="0">
    <oddFooter>&amp;C&amp;14- &amp;P+41 -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view="pageBreakPreview" zoomScaleSheetLayoutView="100" zoomScalePageLayoutView="0" workbookViewId="0" topLeftCell="A1">
      <selection activeCell="D24" sqref="D24"/>
    </sheetView>
  </sheetViews>
  <sheetFormatPr defaultColWidth="9.00390625" defaultRowHeight="18.75" customHeight="1"/>
  <cols>
    <col min="1" max="1" width="11.125" style="472" bestFit="1" customWidth="1"/>
    <col min="2" max="2" width="15.375" style="472" bestFit="1" customWidth="1"/>
    <col min="3" max="3" width="13.625" style="472" bestFit="1" customWidth="1"/>
    <col min="4" max="4" width="15.375" style="472" bestFit="1" customWidth="1"/>
    <col min="5" max="7" width="9.125" style="472" bestFit="1" customWidth="1"/>
    <col min="8" max="16384" width="9.00390625" style="472" customWidth="1"/>
  </cols>
  <sheetData>
    <row r="1" ht="17.25" customHeight="1">
      <c r="A1" s="1"/>
    </row>
    <row r="2" ht="27" customHeight="1">
      <c r="A2" s="473" t="s">
        <v>348</v>
      </c>
    </row>
    <row r="3" spans="1:7" s="761" customFormat="1" ht="28.5" customHeight="1" thickBot="1">
      <c r="A3" s="761" t="s">
        <v>349</v>
      </c>
      <c r="G3" s="234" t="s">
        <v>350</v>
      </c>
    </row>
    <row r="4" spans="1:7" ht="17.25" customHeight="1">
      <c r="A4" s="951" t="s">
        <v>14</v>
      </c>
      <c r="B4" s="952" t="s">
        <v>351</v>
      </c>
      <c r="C4" s="954" t="s">
        <v>352</v>
      </c>
      <c r="D4" s="952" t="s">
        <v>3</v>
      </c>
      <c r="E4" s="903" t="s">
        <v>66</v>
      </c>
      <c r="F4" s="904"/>
      <c r="G4" s="955"/>
    </row>
    <row r="5" spans="1:7" ht="17.25" customHeight="1">
      <c r="A5" s="851"/>
      <c r="B5" s="953"/>
      <c r="C5" s="953"/>
      <c r="D5" s="953"/>
      <c r="E5" s="244" t="s">
        <v>353</v>
      </c>
      <c r="F5" s="244" t="s">
        <v>353</v>
      </c>
      <c r="G5" s="956" t="s">
        <v>3</v>
      </c>
    </row>
    <row r="6" spans="1:7" ht="15.75" customHeight="1">
      <c r="A6" s="852"/>
      <c r="B6" s="844"/>
      <c r="C6" s="844"/>
      <c r="D6" s="844"/>
      <c r="E6" s="238" t="s">
        <v>354</v>
      </c>
      <c r="F6" s="241" t="s">
        <v>355</v>
      </c>
      <c r="G6" s="957"/>
    </row>
    <row r="7" spans="1:7" ht="24" customHeight="1" hidden="1">
      <c r="A7" s="764" t="s">
        <v>85</v>
      </c>
      <c r="B7" s="245">
        <v>76422</v>
      </c>
      <c r="C7" s="245">
        <v>118698</v>
      </c>
      <c r="D7" s="245">
        <f aca="true" t="shared" si="0" ref="D7:D20">B7+C7</f>
        <v>195120</v>
      </c>
      <c r="E7" s="246">
        <v>100</v>
      </c>
      <c r="F7" s="252">
        <v>100</v>
      </c>
      <c r="G7" s="247">
        <v>100</v>
      </c>
    </row>
    <row r="8" spans="1:7" ht="24" customHeight="1" hidden="1">
      <c r="A8" s="764" t="s">
        <v>86</v>
      </c>
      <c r="B8" s="251">
        <v>76460</v>
      </c>
      <c r="C8" s="251">
        <v>118660</v>
      </c>
      <c r="D8" s="251">
        <f t="shared" si="0"/>
        <v>195120</v>
      </c>
      <c r="E8" s="252">
        <f aca="true" t="shared" si="1" ref="E8:G23">ROUND((B8/B7)*100,1)</f>
        <v>100</v>
      </c>
      <c r="F8" s="252">
        <f t="shared" si="1"/>
        <v>100</v>
      </c>
      <c r="G8" s="253">
        <f>ROUND((D8/D7)*100,1)</f>
        <v>100</v>
      </c>
    </row>
    <row r="9" spans="1:7" ht="24" customHeight="1" hidden="1">
      <c r="A9" s="764" t="s">
        <v>87</v>
      </c>
      <c r="B9" s="251">
        <v>80272</v>
      </c>
      <c r="C9" s="251">
        <v>122618</v>
      </c>
      <c r="D9" s="251">
        <f t="shared" si="0"/>
        <v>202890</v>
      </c>
      <c r="E9" s="252">
        <f t="shared" si="1"/>
        <v>105</v>
      </c>
      <c r="F9" s="252">
        <f t="shared" si="1"/>
        <v>103.3</v>
      </c>
      <c r="G9" s="253">
        <f t="shared" si="1"/>
        <v>104</v>
      </c>
    </row>
    <row r="10" spans="1:7" ht="24" customHeight="1" hidden="1">
      <c r="A10" s="764" t="s">
        <v>88</v>
      </c>
      <c r="B10" s="272">
        <v>80272</v>
      </c>
      <c r="C10" s="272">
        <v>122618</v>
      </c>
      <c r="D10" s="272">
        <f t="shared" si="0"/>
        <v>202890</v>
      </c>
      <c r="E10" s="252">
        <f t="shared" si="1"/>
        <v>100</v>
      </c>
      <c r="F10" s="252">
        <f t="shared" si="1"/>
        <v>100</v>
      </c>
      <c r="G10" s="253">
        <f t="shared" si="1"/>
        <v>100</v>
      </c>
    </row>
    <row r="11" spans="1:7" ht="24" customHeight="1" hidden="1">
      <c r="A11" s="764" t="s">
        <v>89</v>
      </c>
      <c r="B11" s="272">
        <v>80272</v>
      </c>
      <c r="C11" s="272">
        <v>122618</v>
      </c>
      <c r="D11" s="272">
        <f t="shared" si="0"/>
        <v>202890</v>
      </c>
      <c r="E11" s="252">
        <f t="shared" si="1"/>
        <v>100</v>
      </c>
      <c r="F11" s="252">
        <f t="shared" si="1"/>
        <v>100</v>
      </c>
      <c r="G11" s="253">
        <f t="shared" si="1"/>
        <v>100</v>
      </c>
    </row>
    <row r="12" spans="1:7" ht="24" customHeight="1" hidden="1">
      <c r="A12" s="764" t="s">
        <v>90</v>
      </c>
      <c r="B12" s="272">
        <v>80270</v>
      </c>
      <c r="C12" s="272">
        <v>122620</v>
      </c>
      <c r="D12" s="272">
        <f t="shared" si="0"/>
        <v>202890</v>
      </c>
      <c r="E12" s="252">
        <f t="shared" si="1"/>
        <v>100</v>
      </c>
      <c r="F12" s="252">
        <f t="shared" si="1"/>
        <v>100</v>
      </c>
      <c r="G12" s="253">
        <f t="shared" si="1"/>
        <v>100</v>
      </c>
    </row>
    <row r="13" spans="1:7" ht="24" customHeight="1" hidden="1">
      <c r="A13" s="764" t="s">
        <v>91</v>
      </c>
      <c r="B13" s="272">
        <v>80270</v>
      </c>
      <c r="C13" s="272">
        <v>122620</v>
      </c>
      <c r="D13" s="272">
        <f t="shared" si="0"/>
        <v>202890</v>
      </c>
      <c r="E13" s="252">
        <f t="shared" si="1"/>
        <v>100</v>
      </c>
      <c r="F13" s="252">
        <f t="shared" si="1"/>
        <v>100</v>
      </c>
      <c r="G13" s="253">
        <f t="shared" si="1"/>
        <v>100</v>
      </c>
    </row>
    <row r="14" spans="1:7" ht="24" customHeight="1" hidden="1">
      <c r="A14" s="764" t="s">
        <v>92</v>
      </c>
      <c r="B14" s="272">
        <v>80270</v>
      </c>
      <c r="C14" s="272">
        <v>122620</v>
      </c>
      <c r="D14" s="272">
        <f t="shared" si="0"/>
        <v>202890</v>
      </c>
      <c r="E14" s="252">
        <f t="shared" si="1"/>
        <v>100</v>
      </c>
      <c r="F14" s="252">
        <f t="shared" si="1"/>
        <v>100</v>
      </c>
      <c r="G14" s="253">
        <f t="shared" si="1"/>
        <v>100</v>
      </c>
    </row>
    <row r="15" spans="1:7" ht="24" customHeight="1" hidden="1">
      <c r="A15" s="764" t="s">
        <v>171</v>
      </c>
      <c r="B15" s="272">
        <v>80270</v>
      </c>
      <c r="C15" s="272">
        <v>122620</v>
      </c>
      <c r="D15" s="272">
        <f t="shared" si="0"/>
        <v>202890</v>
      </c>
      <c r="E15" s="252">
        <f t="shared" si="1"/>
        <v>100</v>
      </c>
      <c r="F15" s="252">
        <f t="shared" si="1"/>
        <v>100</v>
      </c>
      <c r="G15" s="253">
        <f t="shared" si="1"/>
        <v>100</v>
      </c>
    </row>
    <row r="16" spans="1:7" ht="24" customHeight="1" hidden="1">
      <c r="A16" s="764" t="s">
        <v>26</v>
      </c>
      <c r="B16" s="272">
        <v>80270</v>
      </c>
      <c r="C16" s="272">
        <v>122620</v>
      </c>
      <c r="D16" s="272">
        <f t="shared" si="0"/>
        <v>202890</v>
      </c>
      <c r="E16" s="252">
        <f>ROUND((B16/B15)*100,1)</f>
        <v>100</v>
      </c>
      <c r="F16" s="252">
        <f>ROUND((C16/C15)*100,1)</f>
        <v>100</v>
      </c>
      <c r="G16" s="253">
        <f t="shared" si="1"/>
        <v>100</v>
      </c>
    </row>
    <row r="17" spans="1:7" ht="24" customHeight="1" hidden="1">
      <c r="A17" s="765" t="s">
        <v>29</v>
      </c>
      <c r="B17" s="255">
        <v>80270</v>
      </c>
      <c r="C17" s="517">
        <v>122620</v>
      </c>
      <c r="D17" s="255">
        <f t="shared" si="0"/>
        <v>202890</v>
      </c>
      <c r="E17" s="246">
        <f aca="true" t="shared" si="2" ref="E17:E22">ROUND((B17/B16)*100,1)</f>
        <v>100</v>
      </c>
      <c r="F17" s="246">
        <f t="shared" si="1"/>
        <v>100</v>
      </c>
      <c r="G17" s="253">
        <f t="shared" si="1"/>
        <v>100</v>
      </c>
    </row>
    <row r="18" spans="1:7" ht="24" customHeight="1" hidden="1">
      <c r="A18" s="765" t="s">
        <v>31</v>
      </c>
      <c r="B18" s="255">
        <v>80550</v>
      </c>
      <c r="C18" s="517">
        <v>123050</v>
      </c>
      <c r="D18" s="255">
        <f>B18+C18</f>
        <v>203600</v>
      </c>
      <c r="E18" s="246">
        <f t="shared" si="2"/>
        <v>100.3</v>
      </c>
      <c r="F18" s="246">
        <f t="shared" si="1"/>
        <v>100.4</v>
      </c>
      <c r="G18" s="253">
        <f t="shared" si="1"/>
        <v>100.3</v>
      </c>
    </row>
    <row r="19" spans="1:7" ht="24" customHeight="1" hidden="1">
      <c r="A19" s="766" t="s">
        <v>141</v>
      </c>
      <c r="B19" s="255">
        <v>80550</v>
      </c>
      <c r="C19" s="517">
        <v>123050</v>
      </c>
      <c r="D19" s="255">
        <f>B19+C19</f>
        <v>203600</v>
      </c>
      <c r="E19" s="246">
        <f t="shared" si="2"/>
        <v>100</v>
      </c>
      <c r="F19" s="246">
        <f t="shared" si="1"/>
        <v>100</v>
      </c>
      <c r="G19" s="253">
        <f t="shared" si="1"/>
        <v>100</v>
      </c>
    </row>
    <row r="20" spans="1:7" ht="24" customHeight="1">
      <c r="A20" s="766" t="s">
        <v>211</v>
      </c>
      <c r="B20" s="255">
        <v>80550</v>
      </c>
      <c r="C20" s="517">
        <v>123050</v>
      </c>
      <c r="D20" s="255">
        <f t="shared" si="0"/>
        <v>203600</v>
      </c>
      <c r="E20" s="246">
        <f t="shared" si="2"/>
        <v>100</v>
      </c>
      <c r="F20" s="246">
        <f t="shared" si="1"/>
        <v>100</v>
      </c>
      <c r="G20" s="767">
        <f t="shared" si="1"/>
        <v>100</v>
      </c>
    </row>
    <row r="21" spans="1:7" ht="24" customHeight="1">
      <c r="A21" s="768" t="s">
        <v>143</v>
      </c>
      <c r="B21" s="272">
        <v>80550</v>
      </c>
      <c r="C21" s="508">
        <v>123050</v>
      </c>
      <c r="D21" s="272">
        <f>B21+C21</f>
        <v>203600</v>
      </c>
      <c r="E21" s="252">
        <f t="shared" si="2"/>
        <v>100</v>
      </c>
      <c r="F21" s="252">
        <f t="shared" si="1"/>
        <v>100</v>
      </c>
      <c r="G21" s="769">
        <f t="shared" si="1"/>
        <v>100</v>
      </c>
    </row>
    <row r="22" spans="1:7" ht="24" customHeight="1">
      <c r="A22" s="770" t="s">
        <v>144</v>
      </c>
      <c r="B22" s="260">
        <v>80270</v>
      </c>
      <c r="C22" s="485">
        <v>123330</v>
      </c>
      <c r="D22" s="260">
        <f>B22+C22</f>
        <v>203600</v>
      </c>
      <c r="E22" s="771">
        <f t="shared" si="2"/>
        <v>99.7</v>
      </c>
      <c r="F22" s="771">
        <f t="shared" si="1"/>
        <v>100.2</v>
      </c>
      <c r="G22" s="767">
        <f t="shared" si="1"/>
        <v>100</v>
      </c>
    </row>
    <row r="23" spans="1:7" ht="24" customHeight="1">
      <c r="A23" s="766" t="s">
        <v>39</v>
      </c>
      <c r="B23" s="255">
        <v>80270</v>
      </c>
      <c r="C23" s="517">
        <v>123330</v>
      </c>
      <c r="D23" s="255">
        <f>B23+C23</f>
        <v>203600</v>
      </c>
      <c r="E23" s="246">
        <f>ROUND((B23/B22)*100,1)</f>
        <v>100</v>
      </c>
      <c r="F23" s="246">
        <f t="shared" si="1"/>
        <v>100</v>
      </c>
      <c r="G23" s="772">
        <f>ROUND((D23/D22)*100,1)</f>
        <v>100</v>
      </c>
    </row>
    <row r="24" spans="1:7" ht="24" customHeight="1" thickBot="1">
      <c r="A24" s="773" t="s">
        <v>42</v>
      </c>
      <c r="B24" s="279">
        <v>80270</v>
      </c>
      <c r="C24" s="774">
        <v>123330</v>
      </c>
      <c r="D24" s="279">
        <f>B24+C24</f>
        <v>203600</v>
      </c>
      <c r="E24" s="530">
        <f>ROUND((B24/B23)*100,1)</f>
        <v>100</v>
      </c>
      <c r="F24" s="530">
        <f>ROUND((C24/C23)*100,1)</f>
        <v>100</v>
      </c>
      <c r="G24" s="775">
        <f>ROUND((D24/D23)*100,1)</f>
        <v>100</v>
      </c>
    </row>
    <row r="25" spans="1:5" ht="21.75" customHeight="1">
      <c r="A25" s="472" t="s">
        <v>356</v>
      </c>
      <c r="C25" s="776"/>
      <c r="E25" s="472" t="s">
        <v>108</v>
      </c>
    </row>
    <row r="26" ht="7.5" customHeight="1">
      <c r="D26" s="777"/>
    </row>
    <row r="27" spans="1:6" s="761" customFormat="1" ht="21.75" customHeight="1" thickBot="1">
      <c r="A27" s="761" t="s">
        <v>357</v>
      </c>
      <c r="F27" s="234" t="s">
        <v>350</v>
      </c>
    </row>
    <row r="28" spans="1:6" ht="17.25" customHeight="1">
      <c r="A28" s="951" t="s">
        <v>14</v>
      </c>
      <c r="B28" s="952" t="s">
        <v>351</v>
      </c>
      <c r="C28" s="958" t="s">
        <v>358</v>
      </c>
      <c r="D28" s="899"/>
      <c r="E28" s="838" t="s">
        <v>66</v>
      </c>
      <c r="F28" s="839"/>
    </row>
    <row r="29" spans="1:6" ht="17.25" customHeight="1">
      <c r="A29" s="851"/>
      <c r="B29" s="953"/>
      <c r="C29" s="959"/>
      <c r="D29" s="960"/>
      <c r="E29" s="244" t="s">
        <v>353</v>
      </c>
      <c r="F29" s="762" t="s">
        <v>353</v>
      </c>
    </row>
    <row r="30" spans="1:6" ht="17.25" customHeight="1">
      <c r="A30" s="852"/>
      <c r="B30" s="844"/>
      <c r="C30" s="854"/>
      <c r="D30" s="855"/>
      <c r="E30" s="241" t="s">
        <v>354</v>
      </c>
      <c r="F30" s="763" t="s">
        <v>355</v>
      </c>
    </row>
    <row r="31" spans="1:7" ht="24" customHeight="1" hidden="1">
      <c r="A31" s="765" t="s">
        <v>85</v>
      </c>
      <c r="B31" s="245">
        <v>52399</v>
      </c>
      <c r="C31" s="961">
        <v>0</v>
      </c>
      <c r="D31" s="962"/>
      <c r="E31" s="246">
        <v>100</v>
      </c>
      <c r="F31" s="778">
        <v>0</v>
      </c>
      <c r="G31" s="779"/>
    </row>
    <row r="32" spans="1:7" ht="24" customHeight="1" hidden="1">
      <c r="A32" s="764" t="s">
        <v>86</v>
      </c>
      <c r="B32" s="251">
        <v>52493</v>
      </c>
      <c r="C32" s="963">
        <v>0</v>
      </c>
      <c r="D32" s="964"/>
      <c r="E32" s="252">
        <f aca="true" t="shared" si="3" ref="E32:E45">ROUND((B32/B31)*100,1)</f>
        <v>100.2</v>
      </c>
      <c r="F32" s="780">
        <v>0</v>
      </c>
      <c r="G32" s="779"/>
    </row>
    <row r="33" spans="1:7" ht="24" customHeight="1" hidden="1">
      <c r="A33" s="764" t="s">
        <v>87</v>
      </c>
      <c r="B33" s="251">
        <v>52447</v>
      </c>
      <c r="C33" s="963">
        <v>0</v>
      </c>
      <c r="D33" s="964"/>
      <c r="E33" s="252">
        <f t="shared" si="3"/>
        <v>99.9</v>
      </c>
      <c r="F33" s="780">
        <v>0</v>
      </c>
      <c r="G33" s="779"/>
    </row>
    <row r="34" spans="1:7" ht="24" customHeight="1" hidden="1">
      <c r="A34" s="764" t="s">
        <v>88</v>
      </c>
      <c r="B34" s="251">
        <v>52433</v>
      </c>
      <c r="C34" s="965">
        <v>0</v>
      </c>
      <c r="D34" s="966"/>
      <c r="E34" s="252">
        <f t="shared" si="3"/>
        <v>100</v>
      </c>
      <c r="F34" s="780">
        <v>0</v>
      </c>
      <c r="G34" s="779"/>
    </row>
    <row r="35" spans="1:7" ht="24" customHeight="1" hidden="1">
      <c r="A35" s="764" t="s">
        <v>89</v>
      </c>
      <c r="B35" s="251">
        <v>52463</v>
      </c>
      <c r="C35" s="963">
        <v>0</v>
      </c>
      <c r="D35" s="964"/>
      <c r="E35" s="252">
        <f t="shared" si="3"/>
        <v>100.1</v>
      </c>
      <c r="F35" s="780">
        <v>0</v>
      </c>
      <c r="G35" s="779"/>
    </row>
    <row r="36" spans="1:7" ht="24" customHeight="1" hidden="1">
      <c r="A36" s="764" t="s">
        <v>90</v>
      </c>
      <c r="B36" s="272">
        <v>52455</v>
      </c>
      <c r="C36" s="967">
        <v>0</v>
      </c>
      <c r="D36" s="968"/>
      <c r="E36" s="252">
        <f t="shared" si="3"/>
        <v>100</v>
      </c>
      <c r="F36" s="780">
        <v>0</v>
      </c>
      <c r="G36" s="779"/>
    </row>
    <row r="37" spans="1:7" ht="24" customHeight="1" hidden="1">
      <c r="A37" s="764" t="s">
        <v>91</v>
      </c>
      <c r="B37" s="272">
        <v>52469</v>
      </c>
      <c r="C37" s="967">
        <v>0</v>
      </c>
      <c r="D37" s="968"/>
      <c r="E37" s="252">
        <f t="shared" si="3"/>
        <v>100</v>
      </c>
      <c r="F37" s="780">
        <v>0</v>
      </c>
      <c r="G37" s="779"/>
    </row>
    <row r="38" spans="1:7" ht="24" customHeight="1" hidden="1">
      <c r="A38" s="764" t="s">
        <v>92</v>
      </c>
      <c r="B38" s="272">
        <v>55272</v>
      </c>
      <c r="C38" s="967">
        <v>0</v>
      </c>
      <c r="D38" s="968"/>
      <c r="E38" s="252">
        <f t="shared" si="3"/>
        <v>105.3</v>
      </c>
      <c r="F38" s="780">
        <v>0</v>
      </c>
      <c r="G38" s="779"/>
    </row>
    <row r="39" spans="1:7" ht="24" customHeight="1" hidden="1">
      <c r="A39" s="764" t="s">
        <v>171</v>
      </c>
      <c r="B39" s="272">
        <v>55222</v>
      </c>
      <c r="C39" s="967">
        <v>0</v>
      </c>
      <c r="D39" s="968"/>
      <c r="E39" s="252">
        <f t="shared" si="3"/>
        <v>99.9</v>
      </c>
      <c r="F39" s="780">
        <v>0</v>
      </c>
      <c r="G39" s="779"/>
    </row>
    <row r="40" spans="1:7" ht="24" customHeight="1" hidden="1">
      <c r="A40" s="764" t="s">
        <v>26</v>
      </c>
      <c r="B40" s="272">
        <v>55230</v>
      </c>
      <c r="C40" s="967">
        <v>0</v>
      </c>
      <c r="D40" s="968"/>
      <c r="E40" s="252">
        <f t="shared" si="3"/>
        <v>100</v>
      </c>
      <c r="F40" s="780">
        <v>0</v>
      </c>
      <c r="G40" s="779"/>
    </row>
    <row r="41" spans="1:7" ht="24" customHeight="1" hidden="1">
      <c r="A41" s="765" t="s">
        <v>29</v>
      </c>
      <c r="B41" s="255">
        <v>55196</v>
      </c>
      <c r="C41" s="566"/>
      <c r="D41" s="497">
        <v>0</v>
      </c>
      <c r="E41" s="246">
        <f t="shared" si="3"/>
        <v>99.9</v>
      </c>
      <c r="F41" s="780">
        <v>0</v>
      </c>
      <c r="G41" s="779"/>
    </row>
    <row r="42" spans="1:7" ht="24" customHeight="1" hidden="1">
      <c r="A42" s="765" t="s">
        <v>31</v>
      </c>
      <c r="B42" s="255">
        <v>55164</v>
      </c>
      <c r="C42" s="566"/>
      <c r="D42" s="497">
        <v>0</v>
      </c>
      <c r="E42" s="246">
        <f t="shared" si="3"/>
        <v>99.9</v>
      </c>
      <c r="F42" s="780">
        <v>0</v>
      </c>
      <c r="G42" s="779"/>
    </row>
    <row r="43" spans="1:7" ht="24" customHeight="1" hidden="1">
      <c r="A43" s="766" t="s">
        <v>141</v>
      </c>
      <c r="B43" s="255">
        <v>55161</v>
      </c>
      <c r="C43" s="566"/>
      <c r="D43" s="497">
        <v>0</v>
      </c>
      <c r="E43" s="246">
        <f t="shared" si="3"/>
        <v>100</v>
      </c>
      <c r="F43" s="780">
        <v>0</v>
      </c>
      <c r="G43" s="779"/>
    </row>
    <row r="44" spans="1:7" ht="24" customHeight="1">
      <c r="A44" s="766" t="s">
        <v>211</v>
      </c>
      <c r="B44" s="255">
        <v>55153</v>
      </c>
      <c r="C44" s="781"/>
      <c r="D44" s="497">
        <v>0</v>
      </c>
      <c r="E44" s="246">
        <f t="shared" si="3"/>
        <v>100</v>
      </c>
      <c r="F44" s="782">
        <v>0</v>
      </c>
      <c r="G44" s="779"/>
    </row>
    <row r="45" spans="1:7" ht="24" customHeight="1">
      <c r="A45" s="768" t="s">
        <v>143</v>
      </c>
      <c r="B45" s="272">
        <v>55147</v>
      </c>
      <c r="C45" s="525"/>
      <c r="D45" s="524">
        <v>0</v>
      </c>
      <c r="E45" s="252">
        <f t="shared" si="3"/>
        <v>100</v>
      </c>
      <c r="F45" s="783">
        <v>0</v>
      </c>
      <c r="G45" s="779"/>
    </row>
    <row r="46" spans="1:7" ht="24" customHeight="1">
      <c r="A46" s="770" t="s">
        <v>144</v>
      </c>
      <c r="B46" s="260">
        <v>55128</v>
      </c>
      <c r="C46" s="781"/>
      <c r="D46" s="784">
        <v>0</v>
      </c>
      <c r="E46" s="771">
        <f>ROUND((B46/B45)*100,1)</f>
        <v>100</v>
      </c>
      <c r="F46" s="782">
        <v>0</v>
      </c>
      <c r="G46" s="779"/>
    </row>
    <row r="47" spans="1:7" ht="24" customHeight="1">
      <c r="A47" s="766" t="s">
        <v>39</v>
      </c>
      <c r="B47" s="255">
        <v>55105</v>
      </c>
      <c r="C47" s="498"/>
      <c r="D47" s="497">
        <v>0</v>
      </c>
      <c r="E47" s="246">
        <f>ROUND((B47/B46)*100,1)</f>
        <v>100</v>
      </c>
      <c r="F47" s="785">
        <v>0</v>
      </c>
      <c r="G47" s="779"/>
    </row>
    <row r="48" spans="1:7" ht="24" customHeight="1" thickBot="1">
      <c r="A48" s="773" t="s">
        <v>42</v>
      </c>
      <c r="B48" s="279">
        <v>55092</v>
      </c>
      <c r="C48" s="786"/>
      <c r="D48" s="787">
        <v>0</v>
      </c>
      <c r="E48" s="530">
        <f>ROUND((B48/B47)*100,1)</f>
        <v>100</v>
      </c>
      <c r="F48" s="788">
        <v>0</v>
      </c>
      <c r="G48" s="779"/>
    </row>
    <row r="49" spans="1:7" ht="21.75" customHeight="1">
      <c r="A49" s="472" t="s">
        <v>356</v>
      </c>
      <c r="B49" s="789"/>
      <c r="C49" s="789"/>
      <c r="D49" s="789"/>
      <c r="E49" s="779" t="s">
        <v>359</v>
      </c>
      <c r="F49" s="779"/>
      <c r="G49" s="779"/>
    </row>
    <row r="50" spans="3:6" ht="15.75" customHeight="1">
      <c r="C50" s="472" t="s">
        <v>108</v>
      </c>
      <c r="D50" s="472" t="s">
        <v>359</v>
      </c>
      <c r="F50" s="472" t="s">
        <v>108</v>
      </c>
    </row>
    <row r="51" spans="1:9" s="761" customFormat="1" ht="21.75" customHeight="1" thickBot="1">
      <c r="A51" s="761" t="s">
        <v>360</v>
      </c>
      <c r="G51" s="234" t="s">
        <v>361</v>
      </c>
      <c r="I51" s="790"/>
    </row>
    <row r="52" spans="1:7" ht="17.25" customHeight="1">
      <c r="A52" s="847" t="s">
        <v>14</v>
      </c>
      <c r="B52" s="838" t="s">
        <v>362</v>
      </c>
      <c r="C52" s="838" t="s">
        <v>363</v>
      </c>
      <c r="D52" s="838" t="s">
        <v>3</v>
      </c>
      <c r="E52" s="838" t="s">
        <v>66</v>
      </c>
      <c r="F52" s="838"/>
      <c r="G52" s="839"/>
    </row>
    <row r="53" spans="1:7" ht="17.25" customHeight="1">
      <c r="A53" s="842"/>
      <c r="B53" s="840"/>
      <c r="C53" s="840"/>
      <c r="D53" s="840"/>
      <c r="E53" s="237" t="s">
        <v>7</v>
      </c>
      <c r="F53" s="237" t="s">
        <v>8</v>
      </c>
      <c r="G53" s="791" t="s">
        <v>3</v>
      </c>
    </row>
    <row r="54" spans="1:7" ht="24" customHeight="1" hidden="1">
      <c r="A54" s="765" t="s">
        <v>85</v>
      </c>
      <c r="B54" s="251">
        <v>1116897083</v>
      </c>
      <c r="C54" s="251">
        <v>818104419</v>
      </c>
      <c r="D54" s="245">
        <f aca="true" t="shared" si="4" ref="D54:D67">B54+C54</f>
        <v>1935001502</v>
      </c>
      <c r="E54" s="246">
        <v>94</v>
      </c>
      <c r="F54" s="252">
        <v>103.7</v>
      </c>
      <c r="G54" s="247">
        <v>97.8</v>
      </c>
    </row>
    <row r="55" spans="1:7" ht="24" customHeight="1" hidden="1">
      <c r="A55" s="764" t="s">
        <v>86</v>
      </c>
      <c r="B55" s="251">
        <v>1049829486</v>
      </c>
      <c r="C55" s="251">
        <v>845696615</v>
      </c>
      <c r="D55" s="251">
        <f t="shared" si="4"/>
        <v>1895526101</v>
      </c>
      <c r="E55" s="252">
        <f>ROUND((B55/B54)*100,1)</f>
        <v>94</v>
      </c>
      <c r="F55" s="252">
        <f aca="true" t="shared" si="5" ref="E55:G62">ROUND((C55/C54)*100,1)</f>
        <v>103.4</v>
      </c>
      <c r="G55" s="253">
        <f t="shared" si="5"/>
        <v>98</v>
      </c>
    </row>
    <row r="56" spans="1:7" ht="24" customHeight="1" hidden="1">
      <c r="A56" s="764" t="s">
        <v>87</v>
      </c>
      <c r="B56" s="251">
        <v>996520057</v>
      </c>
      <c r="C56" s="251">
        <v>782102801</v>
      </c>
      <c r="D56" s="251">
        <f t="shared" si="4"/>
        <v>1778622858</v>
      </c>
      <c r="E56" s="252">
        <f t="shared" si="5"/>
        <v>94.9</v>
      </c>
      <c r="F56" s="252">
        <f t="shared" si="5"/>
        <v>92.5</v>
      </c>
      <c r="G56" s="253">
        <f t="shared" si="5"/>
        <v>93.8</v>
      </c>
    </row>
    <row r="57" spans="1:7" ht="24" customHeight="1" hidden="1">
      <c r="A57" s="764" t="s">
        <v>88</v>
      </c>
      <c r="B57" s="251">
        <v>974437447</v>
      </c>
      <c r="C57" s="251">
        <v>806108091</v>
      </c>
      <c r="D57" s="251">
        <f t="shared" si="4"/>
        <v>1780545538</v>
      </c>
      <c r="E57" s="252">
        <f>ROUND((B56/B55)*100,1)</f>
        <v>94.9</v>
      </c>
      <c r="F57" s="252">
        <f t="shared" si="5"/>
        <v>103.1</v>
      </c>
      <c r="G57" s="253">
        <f t="shared" si="5"/>
        <v>100.1</v>
      </c>
    </row>
    <row r="58" spans="1:7" ht="24" customHeight="1" hidden="1">
      <c r="A58" s="764" t="s">
        <v>89</v>
      </c>
      <c r="B58" s="251">
        <v>970565311</v>
      </c>
      <c r="C58" s="251">
        <v>833130760</v>
      </c>
      <c r="D58" s="251">
        <f t="shared" si="4"/>
        <v>1803696071</v>
      </c>
      <c r="E58" s="252">
        <f>ROUND((B58/B57)*100,1)</f>
        <v>99.6</v>
      </c>
      <c r="F58" s="252">
        <f t="shared" si="5"/>
        <v>103.4</v>
      </c>
      <c r="G58" s="253">
        <f t="shared" si="5"/>
        <v>101.3</v>
      </c>
    </row>
    <row r="59" spans="1:7" ht="24" customHeight="1" hidden="1">
      <c r="A59" s="764" t="s">
        <v>90</v>
      </c>
      <c r="B59" s="272">
        <v>970314930</v>
      </c>
      <c r="C59" s="272">
        <v>812121550</v>
      </c>
      <c r="D59" s="272">
        <f t="shared" si="4"/>
        <v>1782436480</v>
      </c>
      <c r="E59" s="252">
        <f>ROUND((B59/B58)*100,1)</f>
        <v>100</v>
      </c>
      <c r="F59" s="252">
        <f t="shared" si="5"/>
        <v>97.5</v>
      </c>
      <c r="G59" s="253">
        <f t="shared" si="5"/>
        <v>98.8</v>
      </c>
    </row>
    <row r="60" spans="1:7" ht="24" customHeight="1" hidden="1">
      <c r="A60" s="764" t="s">
        <v>91</v>
      </c>
      <c r="B60" s="272">
        <v>961676363</v>
      </c>
      <c r="C60" s="272">
        <v>830216077</v>
      </c>
      <c r="D60" s="272">
        <f t="shared" si="4"/>
        <v>1791892440</v>
      </c>
      <c r="E60" s="252">
        <f>ROUND((B60/B59)*100,1)</f>
        <v>99.1</v>
      </c>
      <c r="F60" s="252">
        <f t="shared" si="5"/>
        <v>102.2</v>
      </c>
      <c r="G60" s="253">
        <f t="shared" si="5"/>
        <v>100.5</v>
      </c>
    </row>
    <row r="61" spans="1:7" ht="24" customHeight="1" hidden="1">
      <c r="A61" s="764" t="s">
        <v>92</v>
      </c>
      <c r="B61" s="272">
        <v>987942199</v>
      </c>
      <c r="C61" s="272">
        <v>885209975</v>
      </c>
      <c r="D61" s="272">
        <f t="shared" si="4"/>
        <v>1873152174</v>
      </c>
      <c r="E61" s="252">
        <f>ROUND((B61/B60)*100,1)</f>
        <v>102.7</v>
      </c>
      <c r="F61" s="252">
        <f t="shared" si="5"/>
        <v>106.6</v>
      </c>
      <c r="G61" s="253">
        <f t="shared" si="5"/>
        <v>104.5</v>
      </c>
    </row>
    <row r="62" spans="1:7" ht="24" customHeight="1" hidden="1">
      <c r="A62" s="764" t="s">
        <v>171</v>
      </c>
      <c r="B62" s="272">
        <v>972904623</v>
      </c>
      <c r="C62" s="272">
        <v>803576183</v>
      </c>
      <c r="D62" s="272">
        <f t="shared" si="4"/>
        <v>1776480806</v>
      </c>
      <c r="E62" s="252">
        <f>ROUND((B62/B61)*100,1)</f>
        <v>98.5</v>
      </c>
      <c r="F62" s="252">
        <f t="shared" si="5"/>
        <v>90.8</v>
      </c>
      <c r="G62" s="253">
        <f t="shared" si="5"/>
        <v>94.8</v>
      </c>
    </row>
    <row r="63" spans="1:7" ht="24" customHeight="1" hidden="1">
      <c r="A63" s="764" t="s">
        <v>26</v>
      </c>
      <c r="B63" s="272">
        <v>962578686</v>
      </c>
      <c r="C63" s="272">
        <v>824824203</v>
      </c>
      <c r="D63" s="272">
        <f t="shared" si="4"/>
        <v>1787402889</v>
      </c>
      <c r="E63" s="252">
        <f aca="true" t="shared" si="6" ref="E63:G71">ROUND((B63/B62)*100,1)</f>
        <v>98.9</v>
      </c>
      <c r="F63" s="252">
        <f t="shared" si="6"/>
        <v>102.6</v>
      </c>
      <c r="G63" s="253">
        <f t="shared" si="6"/>
        <v>100.6</v>
      </c>
    </row>
    <row r="64" spans="1:7" ht="24" customHeight="1" hidden="1">
      <c r="A64" s="765" t="s">
        <v>29</v>
      </c>
      <c r="B64" s="255">
        <v>964958898</v>
      </c>
      <c r="C64" s="255">
        <v>824790797</v>
      </c>
      <c r="D64" s="255">
        <f t="shared" si="4"/>
        <v>1789749695</v>
      </c>
      <c r="E64" s="246">
        <f t="shared" si="6"/>
        <v>100.2</v>
      </c>
      <c r="F64" s="246">
        <f t="shared" si="6"/>
        <v>100</v>
      </c>
      <c r="G64" s="253">
        <f t="shared" si="6"/>
        <v>100.1</v>
      </c>
    </row>
    <row r="65" spans="1:7" ht="24" customHeight="1" hidden="1">
      <c r="A65" s="765" t="s">
        <v>31</v>
      </c>
      <c r="B65" s="255">
        <v>962926031</v>
      </c>
      <c r="C65" s="255">
        <v>825770139</v>
      </c>
      <c r="D65" s="255">
        <f>B65+C65</f>
        <v>1788696170</v>
      </c>
      <c r="E65" s="246">
        <f t="shared" si="6"/>
        <v>99.8</v>
      </c>
      <c r="F65" s="246">
        <f t="shared" si="6"/>
        <v>100.1</v>
      </c>
      <c r="G65" s="253">
        <f t="shared" si="6"/>
        <v>99.9</v>
      </c>
    </row>
    <row r="66" spans="1:7" ht="24" customHeight="1" hidden="1">
      <c r="A66" s="766" t="s">
        <v>141</v>
      </c>
      <c r="B66" s="255">
        <v>968029697</v>
      </c>
      <c r="C66" s="255">
        <v>845566459</v>
      </c>
      <c r="D66" s="255">
        <v>1813596156</v>
      </c>
      <c r="E66" s="246">
        <f t="shared" si="6"/>
        <v>100.5</v>
      </c>
      <c r="F66" s="246">
        <f t="shared" si="6"/>
        <v>102.4</v>
      </c>
      <c r="G66" s="253">
        <f t="shared" si="6"/>
        <v>101.4</v>
      </c>
    </row>
    <row r="67" spans="1:7" ht="24" customHeight="1">
      <c r="A67" s="766" t="s">
        <v>211</v>
      </c>
      <c r="B67" s="255">
        <v>973292773</v>
      </c>
      <c r="C67" s="255">
        <v>864231506</v>
      </c>
      <c r="D67" s="255">
        <f t="shared" si="4"/>
        <v>1837524279</v>
      </c>
      <c r="E67" s="246">
        <f t="shared" si="6"/>
        <v>100.5</v>
      </c>
      <c r="F67" s="246">
        <f t="shared" si="6"/>
        <v>102.2</v>
      </c>
      <c r="G67" s="767">
        <f t="shared" si="6"/>
        <v>101.3</v>
      </c>
    </row>
    <row r="68" spans="1:7" ht="24" customHeight="1">
      <c r="A68" s="768" t="s">
        <v>143</v>
      </c>
      <c r="B68" s="272">
        <v>976645617</v>
      </c>
      <c r="C68" s="272">
        <v>847617727</v>
      </c>
      <c r="D68" s="272">
        <f>B68+C68</f>
        <v>1824263344</v>
      </c>
      <c r="E68" s="252">
        <f t="shared" si="6"/>
        <v>100.3</v>
      </c>
      <c r="F68" s="252">
        <f t="shared" si="6"/>
        <v>98.1</v>
      </c>
      <c r="G68" s="769">
        <f t="shared" si="6"/>
        <v>99.3</v>
      </c>
    </row>
    <row r="69" spans="1:7" ht="24" customHeight="1">
      <c r="A69" s="770" t="s">
        <v>144</v>
      </c>
      <c r="B69" s="260">
        <v>981836707</v>
      </c>
      <c r="C69" s="260">
        <v>870683750</v>
      </c>
      <c r="D69" s="260">
        <f>B69+C69</f>
        <v>1852520457</v>
      </c>
      <c r="E69" s="771">
        <f t="shared" si="6"/>
        <v>100.5</v>
      </c>
      <c r="F69" s="771">
        <f t="shared" si="6"/>
        <v>102.7</v>
      </c>
      <c r="G69" s="767">
        <f t="shared" si="6"/>
        <v>101.5</v>
      </c>
    </row>
    <row r="70" spans="1:7" ht="24" customHeight="1">
      <c r="A70" s="766" t="s">
        <v>39</v>
      </c>
      <c r="B70" s="255">
        <v>986574489</v>
      </c>
      <c r="C70" s="255">
        <v>894298688</v>
      </c>
      <c r="D70" s="255">
        <f>B70+C70</f>
        <v>1880873177</v>
      </c>
      <c r="E70" s="246">
        <f t="shared" si="6"/>
        <v>100.5</v>
      </c>
      <c r="F70" s="246">
        <f t="shared" si="6"/>
        <v>102.7</v>
      </c>
      <c r="G70" s="772">
        <f t="shared" si="6"/>
        <v>101.5</v>
      </c>
    </row>
    <row r="71" spans="1:7" ht="24" customHeight="1" thickBot="1">
      <c r="A71" s="773" t="s">
        <v>42</v>
      </c>
      <c r="B71" s="279">
        <v>968250122</v>
      </c>
      <c r="C71" s="279">
        <v>847325912</v>
      </c>
      <c r="D71" s="279">
        <f>B71+C71</f>
        <v>1815576034</v>
      </c>
      <c r="E71" s="530">
        <f t="shared" si="6"/>
        <v>98.1</v>
      </c>
      <c r="F71" s="530">
        <f t="shared" si="6"/>
        <v>94.7</v>
      </c>
      <c r="G71" s="775">
        <f t="shared" si="6"/>
        <v>96.5</v>
      </c>
    </row>
    <row r="72" ht="21.75" customHeight="1">
      <c r="A72" s="472" t="s">
        <v>356</v>
      </c>
    </row>
    <row r="73" ht="18.75" customHeight="1">
      <c r="C73" s="472" t="s">
        <v>108</v>
      </c>
    </row>
  </sheetData>
  <sheetProtection/>
  <mergeCells count="25">
    <mergeCell ref="E52:G52"/>
    <mergeCell ref="C39:D39"/>
    <mergeCell ref="C40:D40"/>
    <mergeCell ref="A52:A53"/>
    <mergeCell ref="B52:B53"/>
    <mergeCell ref="C52:C53"/>
    <mergeCell ref="D52:D53"/>
    <mergeCell ref="C33:D33"/>
    <mergeCell ref="C34:D34"/>
    <mergeCell ref="C35:D35"/>
    <mergeCell ref="C36:D36"/>
    <mergeCell ref="C37:D37"/>
    <mergeCell ref="C38:D38"/>
    <mergeCell ref="A28:A30"/>
    <mergeCell ref="B28:B30"/>
    <mergeCell ref="C28:D30"/>
    <mergeCell ref="E28:F28"/>
    <mergeCell ref="C31:D31"/>
    <mergeCell ref="C32:D32"/>
    <mergeCell ref="A4:A6"/>
    <mergeCell ref="B4:B6"/>
    <mergeCell ref="C4:C6"/>
    <mergeCell ref="D4:D6"/>
    <mergeCell ref="E4:G4"/>
    <mergeCell ref="G5:G6"/>
  </mergeCells>
  <printOptions horizontalCentered="1"/>
  <pageMargins left="0.5905511811023623" right="0.5905511811023623" top="0.3937007874015748" bottom="0.1968503937007874" header="0.5905511811023623" footer="0.1968503937007874"/>
  <pageSetup fitToHeight="1" fitToWidth="1" horizontalDpi="600" verticalDpi="600" orientation="portrait" paperSize="9" r:id="rId1"/>
  <headerFooter alignWithMargins="0">
    <oddFooter>&amp;C&amp;14- &amp;P+54 -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13.625" defaultRowHeight="22.5" customHeight="1"/>
  <cols>
    <col min="1" max="1" width="8.50390625" style="91" customWidth="1"/>
    <col min="2" max="2" width="10.375" style="91" customWidth="1"/>
    <col min="3" max="10" width="13.625" style="91" hidden="1" customWidth="1"/>
    <col min="11" max="14" width="0" style="91" hidden="1" customWidth="1"/>
    <col min="15" max="15" width="14.75390625" style="91" hidden="1" customWidth="1"/>
    <col min="16" max="18" width="14.75390625" style="91" bestFit="1" customWidth="1"/>
    <col min="19" max="19" width="14.75390625" style="91" customWidth="1"/>
    <col min="20" max="20" width="14.75390625" style="91" bestFit="1" customWidth="1"/>
    <col min="21" max="16384" width="13.625" style="91" customWidth="1"/>
  </cols>
  <sheetData>
    <row r="1" spans="1:11" ht="27" customHeight="1">
      <c r="A1" s="90"/>
      <c r="B1" s="90"/>
      <c r="I1" s="92"/>
      <c r="J1" s="92"/>
      <c r="K1" s="92"/>
    </row>
    <row r="2" spans="1:11" ht="27" customHeight="1">
      <c r="A2" s="93" t="s">
        <v>45</v>
      </c>
      <c r="B2" s="94"/>
      <c r="I2" s="92"/>
      <c r="J2" s="92"/>
      <c r="K2" s="92"/>
    </row>
    <row r="3" spans="1:20" ht="27" customHeight="1" thickBot="1">
      <c r="A3" s="91" t="s">
        <v>46</v>
      </c>
      <c r="C3" s="95"/>
      <c r="D3" s="95"/>
      <c r="E3" s="95"/>
      <c r="F3" s="95"/>
      <c r="G3" s="95"/>
      <c r="H3" s="95"/>
      <c r="I3" s="96"/>
      <c r="J3" s="96"/>
      <c r="K3" s="96"/>
      <c r="L3" s="96"/>
      <c r="M3" s="96"/>
      <c r="N3" s="96"/>
      <c r="O3" s="95"/>
      <c r="P3" s="95"/>
      <c r="Q3" s="95"/>
      <c r="R3" s="95"/>
      <c r="S3" s="95"/>
      <c r="T3" s="95" t="s">
        <v>47</v>
      </c>
    </row>
    <row r="4" spans="1:20" ht="22.5" customHeight="1">
      <c r="A4" s="800" t="s">
        <v>14</v>
      </c>
      <c r="B4" s="801"/>
      <c r="C4" s="97" t="s">
        <v>16</v>
      </c>
      <c r="D4" s="98" t="s">
        <v>17</v>
      </c>
      <c r="E4" s="98" t="s">
        <v>18</v>
      </c>
      <c r="F4" s="98" t="s">
        <v>19</v>
      </c>
      <c r="G4" s="98" t="s">
        <v>20</v>
      </c>
      <c r="H4" s="99" t="s">
        <v>21</v>
      </c>
      <c r="I4" s="100" t="s">
        <v>22</v>
      </c>
      <c r="J4" s="101" t="s">
        <v>33</v>
      </c>
      <c r="K4" s="100" t="s">
        <v>23</v>
      </c>
      <c r="L4" s="100" t="s">
        <v>26</v>
      </c>
      <c r="M4" s="102" t="s">
        <v>29</v>
      </c>
      <c r="N4" s="102" t="s">
        <v>31</v>
      </c>
      <c r="O4" s="103" t="s">
        <v>32</v>
      </c>
      <c r="P4" s="103" t="s">
        <v>35</v>
      </c>
      <c r="Q4" s="103" t="s">
        <v>48</v>
      </c>
      <c r="R4" s="103" t="s">
        <v>41</v>
      </c>
      <c r="S4" s="103" t="s">
        <v>39</v>
      </c>
      <c r="T4" s="104" t="s">
        <v>42</v>
      </c>
    </row>
    <row r="5" spans="1:20" ht="22.5" customHeight="1">
      <c r="A5" s="802" t="s">
        <v>12</v>
      </c>
      <c r="B5" s="803"/>
      <c r="C5" s="105"/>
      <c r="D5" s="105"/>
      <c r="E5" s="105"/>
      <c r="F5" s="105"/>
      <c r="G5" s="105"/>
      <c r="H5" s="106"/>
      <c r="I5" s="107"/>
      <c r="J5" s="108"/>
      <c r="K5" s="107"/>
      <c r="L5" s="107"/>
      <c r="M5" s="107"/>
      <c r="N5" s="107"/>
      <c r="O5" s="109"/>
      <c r="P5" s="110"/>
      <c r="Q5" s="110"/>
      <c r="R5" s="110"/>
      <c r="S5" s="110"/>
      <c r="T5" s="111"/>
    </row>
    <row r="6" spans="1:20" ht="22.5" customHeight="1">
      <c r="A6" s="112"/>
      <c r="B6" s="113" t="s">
        <v>49</v>
      </c>
      <c r="C6" s="114">
        <v>12774581</v>
      </c>
      <c r="D6" s="114">
        <v>12109229</v>
      </c>
      <c r="E6" s="114">
        <v>12011116</v>
      </c>
      <c r="F6" s="114">
        <v>11764837</v>
      </c>
      <c r="G6" s="114">
        <v>11743419</v>
      </c>
      <c r="H6" s="115">
        <v>11711392</v>
      </c>
      <c r="I6" s="116">
        <v>11593505</v>
      </c>
      <c r="J6" s="117">
        <v>11421473</v>
      </c>
      <c r="K6" s="116">
        <v>11209740</v>
      </c>
      <c r="L6" s="116">
        <v>11042521</v>
      </c>
      <c r="M6" s="116">
        <v>11011319</v>
      </c>
      <c r="N6" s="116">
        <v>10913671</v>
      </c>
      <c r="O6" s="118">
        <v>10900804</v>
      </c>
      <c r="P6" s="119">
        <v>10881136</v>
      </c>
      <c r="Q6" s="119">
        <v>10828883</v>
      </c>
      <c r="R6" s="119">
        <v>10810759</v>
      </c>
      <c r="S6" s="119">
        <v>10801661</v>
      </c>
      <c r="T6" s="120">
        <v>10578688</v>
      </c>
    </row>
    <row r="7" spans="1:20" ht="22.5" customHeight="1">
      <c r="A7" s="112"/>
      <c r="B7" s="113" t="s">
        <v>50</v>
      </c>
      <c r="C7" s="114">
        <v>11793326</v>
      </c>
      <c r="D7" s="114">
        <v>12182801</v>
      </c>
      <c r="E7" s="114">
        <v>11834609</v>
      </c>
      <c r="F7" s="114">
        <v>12228754</v>
      </c>
      <c r="G7" s="114">
        <v>12623329</v>
      </c>
      <c r="H7" s="115">
        <v>12306589</v>
      </c>
      <c r="I7" s="116">
        <v>12622597</v>
      </c>
      <c r="J7" s="117">
        <v>12891180</v>
      </c>
      <c r="K7" s="116">
        <v>11715649</v>
      </c>
      <c r="L7" s="116">
        <v>12014946</v>
      </c>
      <c r="M7" s="116">
        <v>12257051</v>
      </c>
      <c r="N7" s="116">
        <v>11943208</v>
      </c>
      <c r="O7" s="118">
        <v>12220403</v>
      </c>
      <c r="P7" s="119">
        <v>12495647</v>
      </c>
      <c r="Q7" s="119">
        <v>12263173</v>
      </c>
      <c r="R7" s="119">
        <v>12571506</v>
      </c>
      <c r="S7" s="119">
        <v>12892306</v>
      </c>
      <c r="T7" s="120">
        <v>12186473</v>
      </c>
    </row>
    <row r="8" spans="1:20" ht="22.5" customHeight="1">
      <c r="A8" s="112"/>
      <c r="B8" s="113" t="s">
        <v>51</v>
      </c>
      <c r="C8" s="114">
        <v>2735578</v>
      </c>
      <c r="D8" s="114">
        <v>2659710</v>
      </c>
      <c r="E8" s="114">
        <v>2738906</v>
      </c>
      <c r="F8" s="114">
        <v>2720230</v>
      </c>
      <c r="G8" s="114">
        <v>2658700</v>
      </c>
      <c r="H8" s="115">
        <v>2579883</v>
      </c>
      <c r="I8" s="116">
        <v>2564511</v>
      </c>
      <c r="J8" s="117">
        <v>2498600</v>
      </c>
      <c r="K8" s="116">
        <v>2442100</v>
      </c>
      <c r="L8" s="116">
        <v>2431535</v>
      </c>
      <c r="M8" s="121">
        <v>2416911</v>
      </c>
      <c r="N8" s="121">
        <v>2480856</v>
      </c>
      <c r="O8" s="122">
        <v>2549960</v>
      </c>
      <c r="P8" s="122">
        <v>2568538</v>
      </c>
      <c r="Q8" s="122">
        <v>2592572</v>
      </c>
      <c r="R8" s="122">
        <v>2671263</v>
      </c>
      <c r="S8" s="122">
        <v>2658166</v>
      </c>
      <c r="T8" s="123">
        <v>2486988</v>
      </c>
    </row>
    <row r="9" spans="1:20" ht="22.5" customHeight="1">
      <c r="A9" s="124"/>
      <c r="B9" s="125" t="s">
        <v>3</v>
      </c>
      <c r="C9" s="126">
        <f aca="true" t="shared" si="0" ref="C9:J9">SUM(C6:C8)</f>
        <v>27303485</v>
      </c>
      <c r="D9" s="126">
        <f t="shared" si="0"/>
        <v>26951740</v>
      </c>
      <c r="E9" s="126">
        <f t="shared" si="0"/>
        <v>26584631</v>
      </c>
      <c r="F9" s="126">
        <f t="shared" si="0"/>
        <v>26713821</v>
      </c>
      <c r="G9" s="126">
        <f t="shared" si="0"/>
        <v>27025448</v>
      </c>
      <c r="H9" s="127">
        <f t="shared" si="0"/>
        <v>26597864</v>
      </c>
      <c r="I9" s="128">
        <f t="shared" si="0"/>
        <v>26780613</v>
      </c>
      <c r="J9" s="129">
        <f t="shared" si="0"/>
        <v>26811253</v>
      </c>
      <c r="K9" s="128">
        <f aca="true" t="shared" si="1" ref="K9:Q9">SUM(K6:K8)</f>
        <v>25367489</v>
      </c>
      <c r="L9" s="128">
        <f t="shared" si="1"/>
        <v>25489002</v>
      </c>
      <c r="M9" s="128">
        <f t="shared" si="1"/>
        <v>25685281</v>
      </c>
      <c r="N9" s="128">
        <f t="shared" si="1"/>
        <v>25337735</v>
      </c>
      <c r="O9" s="130">
        <f t="shared" si="1"/>
        <v>25671167</v>
      </c>
      <c r="P9" s="131">
        <f>SUM(P6:P8)</f>
        <v>25945321</v>
      </c>
      <c r="Q9" s="131">
        <f t="shared" si="1"/>
        <v>25684628</v>
      </c>
      <c r="R9" s="131">
        <f>SUM(R6:R8)</f>
        <v>26053528</v>
      </c>
      <c r="S9" s="131">
        <f>SUM(S6:S8)</f>
        <v>26352133</v>
      </c>
      <c r="T9" s="132">
        <f>SUM(T6:T8)</f>
        <v>25252149</v>
      </c>
    </row>
    <row r="10" spans="1:20" ht="22.5" customHeight="1">
      <c r="A10" s="804" t="s">
        <v>52</v>
      </c>
      <c r="B10" s="805"/>
      <c r="C10" s="114"/>
      <c r="D10" s="114"/>
      <c r="E10" s="114"/>
      <c r="F10" s="114"/>
      <c r="G10" s="114"/>
      <c r="H10" s="115"/>
      <c r="I10" s="116"/>
      <c r="J10" s="117"/>
      <c r="K10" s="116"/>
      <c r="L10" s="116"/>
      <c r="M10" s="116"/>
      <c r="N10" s="116"/>
      <c r="O10" s="118"/>
      <c r="P10" s="119"/>
      <c r="Q10" s="119"/>
      <c r="R10" s="119"/>
      <c r="S10" s="119"/>
      <c r="T10" s="120"/>
    </row>
    <row r="11" spans="1:20" ht="22.5" customHeight="1">
      <c r="A11" s="806" t="s">
        <v>53</v>
      </c>
      <c r="B11" s="807"/>
      <c r="C11" s="114">
        <v>38361</v>
      </c>
      <c r="D11" s="114">
        <v>31895</v>
      </c>
      <c r="E11" s="114">
        <v>30402</v>
      </c>
      <c r="F11" s="114">
        <v>27975</v>
      </c>
      <c r="G11" s="114">
        <v>27330</v>
      </c>
      <c r="H11" s="115">
        <v>27135</v>
      </c>
      <c r="I11" s="116">
        <v>25142</v>
      </c>
      <c r="J11" s="117">
        <v>16225</v>
      </c>
      <c r="K11" s="116">
        <v>11748</v>
      </c>
      <c r="L11" s="116">
        <v>10731</v>
      </c>
      <c r="M11" s="116">
        <v>10301</v>
      </c>
      <c r="N11" s="116">
        <v>8963</v>
      </c>
      <c r="O11" s="118">
        <v>8219</v>
      </c>
      <c r="P11" s="119">
        <v>7327</v>
      </c>
      <c r="Q11" s="119">
        <v>7140</v>
      </c>
      <c r="R11" s="119">
        <v>7130</v>
      </c>
      <c r="S11" s="119">
        <v>6599</v>
      </c>
      <c r="T11" s="120">
        <v>7375</v>
      </c>
    </row>
    <row r="12" spans="1:20" ht="22.5" customHeight="1">
      <c r="A12" s="806" t="s">
        <v>54</v>
      </c>
      <c r="B12" s="807"/>
      <c r="C12" s="114">
        <v>86545</v>
      </c>
      <c r="D12" s="114">
        <v>85042</v>
      </c>
      <c r="E12" s="114">
        <v>83264</v>
      </c>
      <c r="F12" s="114">
        <v>81853</v>
      </c>
      <c r="G12" s="114">
        <v>64050</v>
      </c>
      <c r="H12" s="115">
        <v>63937</v>
      </c>
      <c r="I12" s="116">
        <v>60271</v>
      </c>
      <c r="J12" s="117">
        <v>59526</v>
      </c>
      <c r="K12" s="116">
        <v>57236</v>
      </c>
      <c r="L12" s="116">
        <v>54474</v>
      </c>
      <c r="M12" s="116">
        <v>53125</v>
      </c>
      <c r="N12" s="116">
        <v>51884</v>
      </c>
      <c r="O12" s="133">
        <v>49570</v>
      </c>
      <c r="P12" s="122">
        <v>49340</v>
      </c>
      <c r="Q12" s="122">
        <v>46571</v>
      </c>
      <c r="R12" s="122">
        <v>44819</v>
      </c>
      <c r="S12" s="122">
        <v>43610</v>
      </c>
      <c r="T12" s="123">
        <v>42374</v>
      </c>
    </row>
    <row r="13" spans="1:20" ht="22.5" customHeight="1">
      <c r="A13" s="124"/>
      <c r="B13" s="125" t="s">
        <v>3</v>
      </c>
      <c r="C13" s="126">
        <f aca="true" t="shared" si="2" ref="C13:Q13">C11+C12</f>
        <v>124906</v>
      </c>
      <c r="D13" s="126">
        <f t="shared" si="2"/>
        <v>116937</v>
      </c>
      <c r="E13" s="126">
        <f t="shared" si="2"/>
        <v>113666</v>
      </c>
      <c r="F13" s="126">
        <f t="shared" si="2"/>
        <v>109828</v>
      </c>
      <c r="G13" s="126">
        <f t="shared" si="2"/>
        <v>91380</v>
      </c>
      <c r="H13" s="127">
        <f t="shared" si="2"/>
        <v>91072</v>
      </c>
      <c r="I13" s="128">
        <f t="shared" si="2"/>
        <v>85413</v>
      </c>
      <c r="J13" s="129">
        <f t="shared" si="2"/>
        <v>75751</v>
      </c>
      <c r="K13" s="128">
        <f t="shared" si="2"/>
        <v>68984</v>
      </c>
      <c r="L13" s="128">
        <f t="shared" si="2"/>
        <v>65205</v>
      </c>
      <c r="M13" s="128">
        <f t="shared" si="2"/>
        <v>63426</v>
      </c>
      <c r="N13" s="128">
        <f t="shared" si="2"/>
        <v>60847</v>
      </c>
      <c r="O13" s="130">
        <f t="shared" si="2"/>
        <v>57789</v>
      </c>
      <c r="P13" s="131">
        <f>P11+P12</f>
        <v>56667</v>
      </c>
      <c r="Q13" s="131">
        <f t="shared" si="2"/>
        <v>53711</v>
      </c>
      <c r="R13" s="131">
        <f>R11+R12</f>
        <v>51949</v>
      </c>
      <c r="S13" s="131">
        <f>S11+S12</f>
        <v>50209</v>
      </c>
      <c r="T13" s="134">
        <f>T11+T12</f>
        <v>49749</v>
      </c>
    </row>
    <row r="14" spans="1:20" ht="22.5" customHeight="1">
      <c r="A14" s="808" t="s">
        <v>55</v>
      </c>
      <c r="B14" s="809"/>
      <c r="C14" s="126">
        <f aca="true" t="shared" si="3" ref="C14:Q14">C9+C13</f>
        <v>27428391</v>
      </c>
      <c r="D14" s="126">
        <f t="shared" si="3"/>
        <v>27068677</v>
      </c>
      <c r="E14" s="126">
        <f t="shared" si="3"/>
        <v>26698297</v>
      </c>
      <c r="F14" s="126">
        <f t="shared" si="3"/>
        <v>26823649</v>
      </c>
      <c r="G14" s="126">
        <f t="shared" si="3"/>
        <v>27116828</v>
      </c>
      <c r="H14" s="127">
        <f t="shared" si="3"/>
        <v>26688936</v>
      </c>
      <c r="I14" s="128">
        <f>I9+I13</f>
        <v>26866026</v>
      </c>
      <c r="J14" s="129">
        <f t="shared" si="3"/>
        <v>26887004</v>
      </c>
      <c r="K14" s="128">
        <f t="shared" si="3"/>
        <v>25436473</v>
      </c>
      <c r="L14" s="128">
        <f t="shared" si="3"/>
        <v>25554207</v>
      </c>
      <c r="M14" s="128">
        <f t="shared" si="3"/>
        <v>25748707</v>
      </c>
      <c r="N14" s="128">
        <f t="shared" si="3"/>
        <v>25398582</v>
      </c>
      <c r="O14" s="130">
        <f t="shared" si="3"/>
        <v>25728956</v>
      </c>
      <c r="P14" s="131">
        <f>P9+P13</f>
        <v>26001988</v>
      </c>
      <c r="Q14" s="131">
        <f t="shared" si="3"/>
        <v>25738339</v>
      </c>
      <c r="R14" s="131">
        <f>R9+R13</f>
        <v>26105477</v>
      </c>
      <c r="S14" s="131">
        <f>S9+S13</f>
        <v>26402342</v>
      </c>
      <c r="T14" s="132">
        <f>T9+T13</f>
        <v>25301898</v>
      </c>
    </row>
    <row r="15" spans="1:20" ht="22.5" customHeight="1" thickBot="1">
      <c r="A15" s="812" t="s">
        <v>4</v>
      </c>
      <c r="B15" s="813"/>
      <c r="C15" s="135">
        <v>94.4</v>
      </c>
      <c r="D15" s="135">
        <f aca="true" t="shared" si="4" ref="D15:Q15">ROUND((D14/C14)*100,1)</f>
        <v>98.7</v>
      </c>
      <c r="E15" s="135">
        <f t="shared" si="4"/>
        <v>98.6</v>
      </c>
      <c r="F15" s="135">
        <f t="shared" si="4"/>
        <v>100.5</v>
      </c>
      <c r="G15" s="135">
        <f t="shared" si="4"/>
        <v>101.1</v>
      </c>
      <c r="H15" s="136">
        <f t="shared" si="4"/>
        <v>98.4</v>
      </c>
      <c r="I15" s="137">
        <f t="shared" si="4"/>
        <v>100.7</v>
      </c>
      <c r="J15" s="138">
        <f t="shared" si="4"/>
        <v>100.1</v>
      </c>
      <c r="K15" s="137">
        <f t="shared" si="4"/>
        <v>94.6</v>
      </c>
      <c r="L15" s="137">
        <f t="shared" si="4"/>
        <v>100.5</v>
      </c>
      <c r="M15" s="137">
        <f t="shared" si="4"/>
        <v>100.8</v>
      </c>
      <c r="N15" s="137">
        <f t="shared" si="4"/>
        <v>98.6</v>
      </c>
      <c r="O15" s="139">
        <f t="shared" si="4"/>
        <v>101.3</v>
      </c>
      <c r="P15" s="140">
        <f t="shared" si="4"/>
        <v>101.1</v>
      </c>
      <c r="Q15" s="140">
        <f t="shared" si="4"/>
        <v>99</v>
      </c>
      <c r="R15" s="140">
        <f>ROUND((R14/Q14)*100,1)</f>
        <v>101.4</v>
      </c>
      <c r="S15" s="140">
        <f>ROUND((S14/R14)*100,1)</f>
        <v>101.1</v>
      </c>
      <c r="T15" s="141">
        <f>ROUND((T14/S14)*100,1)</f>
        <v>95.8</v>
      </c>
    </row>
    <row r="16" spans="9:20" ht="22.5" customHeight="1">
      <c r="I16" s="92"/>
      <c r="J16" s="92"/>
      <c r="K16" s="92"/>
      <c r="L16" s="92"/>
      <c r="M16" s="92"/>
      <c r="N16" s="92"/>
      <c r="P16" s="142"/>
      <c r="Q16" s="142"/>
      <c r="R16" s="142"/>
      <c r="S16" s="142"/>
      <c r="T16" s="142"/>
    </row>
    <row r="17" spans="9:20" ht="22.5" customHeight="1">
      <c r="I17" s="92"/>
      <c r="J17" s="92"/>
      <c r="K17" s="92"/>
      <c r="L17" s="92"/>
      <c r="M17" s="92"/>
      <c r="N17" s="92"/>
      <c r="P17" s="142"/>
      <c r="Q17" s="142"/>
      <c r="R17" s="142"/>
      <c r="S17" s="142"/>
      <c r="T17" s="142"/>
    </row>
    <row r="18" spans="1:20" ht="22.5" customHeight="1" thickBot="1">
      <c r="A18" s="91" t="s">
        <v>56</v>
      </c>
      <c r="C18" s="95"/>
      <c r="D18" s="95"/>
      <c r="E18" s="95"/>
      <c r="F18" s="95"/>
      <c r="G18" s="95"/>
      <c r="H18" s="95"/>
      <c r="I18" s="96"/>
      <c r="J18" s="96"/>
      <c r="K18" s="96"/>
      <c r="L18" s="96"/>
      <c r="M18" s="96"/>
      <c r="N18" s="96"/>
      <c r="P18" s="143"/>
      <c r="Q18" s="143"/>
      <c r="R18" s="143"/>
      <c r="S18" s="143"/>
      <c r="T18" s="143" t="s">
        <v>47</v>
      </c>
    </row>
    <row r="19" spans="1:20" ht="22.5" customHeight="1">
      <c r="A19" s="800" t="s">
        <v>14</v>
      </c>
      <c r="B19" s="801"/>
      <c r="C19" s="144" t="s">
        <v>16</v>
      </c>
      <c r="D19" s="98" t="s">
        <v>17</v>
      </c>
      <c r="E19" s="98" t="s">
        <v>18</v>
      </c>
      <c r="F19" s="98" t="s">
        <v>19</v>
      </c>
      <c r="G19" s="98" t="s">
        <v>20</v>
      </c>
      <c r="H19" s="99" t="s">
        <v>21</v>
      </c>
      <c r="I19" s="100" t="s">
        <v>22</v>
      </c>
      <c r="J19" s="145" t="s">
        <v>33</v>
      </c>
      <c r="K19" s="100" t="s">
        <v>23</v>
      </c>
      <c r="L19" s="100" t="s">
        <v>26</v>
      </c>
      <c r="M19" s="102" t="s">
        <v>29</v>
      </c>
      <c r="N19" s="102" t="s">
        <v>31</v>
      </c>
      <c r="O19" s="103" t="s">
        <v>32</v>
      </c>
      <c r="P19" s="103" t="s">
        <v>35</v>
      </c>
      <c r="Q19" s="103" t="s">
        <v>48</v>
      </c>
      <c r="R19" s="103" t="s">
        <v>41</v>
      </c>
      <c r="S19" s="103" t="s">
        <v>39</v>
      </c>
      <c r="T19" s="104" t="s">
        <v>42</v>
      </c>
    </row>
    <row r="20" spans="1:20" ht="22.5" customHeight="1">
      <c r="A20" s="814" t="s">
        <v>7</v>
      </c>
      <c r="B20" s="815"/>
      <c r="C20" s="146">
        <v>3345433</v>
      </c>
      <c r="D20" s="146">
        <v>3144700</v>
      </c>
      <c r="E20" s="146">
        <v>2985047</v>
      </c>
      <c r="F20" s="146">
        <v>2916272</v>
      </c>
      <c r="G20" s="146">
        <v>2908768</v>
      </c>
      <c r="H20" s="147">
        <v>2903619</v>
      </c>
      <c r="I20" s="148">
        <v>2877717</v>
      </c>
      <c r="J20" s="149">
        <v>2956490</v>
      </c>
      <c r="K20" s="148">
        <v>2911310</v>
      </c>
      <c r="L20" s="148">
        <v>2880105</v>
      </c>
      <c r="M20" s="148">
        <v>2887060</v>
      </c>
      <c r="N20" s="148">
        <v>2881006</v>
      </c>
      <c r="O20" s="118">
        <v>2896324</v>
      </c>
      <c r="P20" s="119">
        <v>2912241</v>
      </c>
      <c r="Q20" s="119">
        <v>2922252</v>
      </c>
      <c r="R20" s="119">
        <v>2937831</v>
      </c>
      <c r="S20" s="119">
        <v>2952317</v>
      </c>
      <c r="T20" s="120">
        <v>2897201</v>
      </c>
    </row>
    <row r="21" spans="1:20" ht="22.5" customHeight="1">
      <c r="A21" s="816" t="s">
        <v>8</v>
      </c>
      <c r="B21" s="817"/>
      <c r="C21" s="150">
        <v>2319809</v>
      </c>
      <c r="D21" s="150">
        <v>2397350</v>
      </c>
      <c r="E21" s="150">
        <v>2219446</v>
      </c>
      <c r="F21" s="150">
        <v>2290638</v>
      </c>
      <c r="G21" s="150">
        <v>2368654</v>
      </c>
      <c r="H21" s="151">
        <v>2315108</v>
      </c>
      <c r="I21" s="152">
        <v>2374991</v>
      </c>
      <c r="J21" s="153">
        <v>2566137</v>
      </c>
      <c r="K21" s="152">
        <v>2357786</v>
      </c>
      <c r="L21" s="152">
        <v>2443287</v>
      </c>
      <c r="M21" s="152">
        <v>2504207</v>
      </c>
      <c r="N21" s="152">
        <v>2456868</v>
      </c>
      <c r="O21" s="133">
        <v>2516152</v>
      </c>
      <c r="P21" s="122">
        <v>2572398</v>
      </c>
      <c r="Q21" s="122">
        <v>2523526</v>
      </c>
      <c r="R21" s="122">
        <v>2592624</v>
      </c>
      <c r="S21" s="122">
        <v>2663438</v>
      </c>
      <c r="T21" s="123">
        <v>2527010</v>
      </c>
    </row>
    <row r="22" spans="1:20" ht="22.5" customHeight="1">
      <c r="A22" s="808" t="s">
        <v>55</v>
      </c>
      <c r="B22" s="809"/>
      <c r="C22" s="154">
        <f aca="true" t="shared" si="5" ref="C22:T22">C20+C21</f>
        <v>5665242</v>
      </c>
      <c r="D22" s="155">
        <f t="shared" si="5"/>
        <v>5542050</v>
      </c>
      <c r="E22" s="155">
        <f t="shared" si="5"/>
        <v>5204493</v>
      </c>
      <c r="F22" s="155">
        <f t="shared" si="5"/>
        <v>5206910</v>
      </c>
      <c r="G22" s="155">
        <f t="shared" si="5"/>
        <v>5277422</v>
      </c>
      <c r="H22" s="156">
        <f t="shared" si="5"/>
        <v>5218727</v>
      </c>
      <c r="I22" s="157">
        <f t="shared" si="5"/>
        <v>5252708</v>
      </c>
      <c r="J22" s="158">
        <f t="shared" si="5"/>
        <v>5522627</v>
      </c>
      <c r="K22" s="157">
        <f t="shared" si="5"/>
        <v>5269096</v>
      </c>
      <c r="L22" s="157">
        <f t="shared" si="5"/>
        <v>5323392</v>
      </c>
      <c r="M22" s="157">
        <f t="shared" si="5"/>
        <v>5391267</v>
      </c>
      <c r="N22" s="157">
        <f t="shared" si="5"/>
        <v>5337874</v>
      </c>
      <c r="O22" s="130">
        <f t="shared" si="5"/>
        <v>5412476</v>
      </c>
      <c r="P22" s="131">
        <f t="shared" si="5"/>
        <v>5484639</v>
      </c>
      <c r="Q22" s="131">
        <f t="shared" si="5"/>
        <v>5445778</v>
      </c>
      <c r="R22" s="131">
        <f t="shared" si="5"/>
        <v>5530455</v>
      </c>
      <c r="S22" s="131">
        <f t="shared" si="5"/>
        <v>5615755</v>
      </c>
      <c r="T22" s="132">
        <f t="shared" si="5"/>
        <v>5424211</v>
      </c>
    </row>
    <row r="23" spans="1:20" ht="22.5" customHeight="1" thickBot="1">
      <c r="A23" s="818" t="s">
        <v>4</v>
      </c>
      <c r="B23" s="819"/>
      <c r="C23" s="159">
        <v>93.4</v>
      </c>
      <c r="D23" s="160">
        <f aca="true" t="shared" si="6" ref="D23:Q23">ROUND((D22/C22)*100,1)</f>
        <v>97.8</v>
      </c>
      <c r="E23" s="160">
        <f t="shared" si="6"/>
        <v>93.9</v>
      </c>
      <c r="F23" s="160">
        <f t="shared" si="6"/>
        <v>100</v>
      </c>
      <c r="G23" s="160">
        <f t="shared" si="6"/>
        <v>101.4</v>
      </c>
      <c r="H23" s="161">
        <f t="shared" si="6"/>
        <v>98.9</v>
      </c>
      <c r="I23" s="162">
        <f t="shared" si="6"/>
        <v>100.7</v>
      </c>
      <c r="J23" s="163">
        <f t="shared" si="6"/>
        <v>105.1</v>
      </c>
      <c r="K23" s="162">
        <f t="shared" si="6"/>
        <v>95.4</v>
      </c>
      <c r="L23" s="162">
        <f t="shared" si="6"/>
        <v>101</v>
      </c>
      <c r="M23" s="164">
        <f t="shared" si="6"/>
        <v>101.3</v>
      </c>
      <c r="N23" s="164">
        <f t="shared" si="6"/>
        <v>99</v>
      </c>
      <c r="O23" s="139">
        <f t="shared" si="6"/>
        <v>101.4</v>
      </c>
      <c r="P23" s="140">
        <f t="shared" si="6"/>
        <v>101.3</v>
      </c>
      <c r="Q23" s="140">
        <f t="shared" si="6"/>
        <v>99.3</v>
      </c>
      <c r="R23" s="140">
        <f>ROUND((R22/Q22)*100,1)</f>
        <v>101.6</v>
      </c>
      <c r="S23" s="140">
        <f>ROUND((S22/R22)*100,1)</f>
        <v>101.5</v>
      </c>
      <c r="T23" s="141">
        <f>ROUND((T22/S22)*100,1)</f>
        <v>96.6</v>
      </c>
    </row>
    <row r="24" spans="1:11" ht="22.5" customHeight="1">
      <c r="A24" s="810"/>
      <c r="B24" s="811"/>
      <c r="I24" s="92"/>
      <c r="J24" s="92"/>
      <c r="K24" s="92"/>
    </row>
  </sheetData>
  <sheetProtection/>
  <mergeCells count="13">
    <mergeCell ref="A24:B24"/>
    <mergeCell ref="A15:B15"/>
    <mergeCell ref="A19:B19"/>
    <mergeCell ref="A20:B20"/>
    <mergeCell ref="A21:B21"/>
    <mergeCell ref="A22:B22"/>
    <mergeCell ref="A23:B23"/>
    <mergeCell ref="A4:B4"/>
    <mergeCell ref="A5:B5"/>
    <mergeCell ref="A10:B10"/>
    <mergeCell ref="A11:B11"/>
    <mergeCell ref="A12:B12"/>
    <mergeCell ref="A14:B14"/>
  </mergeCells>
  <printOptions horizontalCentered="1"/>
  <pageMargins left="0.5905511811023623" right="0.5905511811023623" top="0.3937007874015748" bottom="0.1968503937007874" header="0.5118110236220472" footer="0.1968503937007874"/>
  <pageSetup fitToHeight="1" fitToWidth="1" horizontalDpi="300" verticalDpi="300" orientation="portrait" paperSize="9" scale="99" r:id="rId1"/>
  <headerFooter alignWithMargins="0">
    <oddFooter>&amp;C&amp;14- &amp;P+42 -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showGridLines="0" view="pageBreakPreview" zoomScale="80" zoomScaleSheetLayoutView="80" zoomScalePageLayoutView="0" workbookViewId="0" topLeftCell="A1">
      <pane xSplit="2" ySplit="5" topLeftCell="C7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90" sqref="E90"/>
    </sheetView>
  </sheetViews>
  <sheetFormatPr defaultColWidth="9.00390625" defaultRowHeight="20.25" customHeight="1"/>
  <cols>
    <col min="1" max="1" width="10.625" style="166" customWidth="1"/>
    <col min="2" max="2" width="8.625" style="166" customWidth="1"/>
    <col min="3" max="3" width="13.625" style="166" customWidth="1"/>
    <col min="4" max="4" width="13.625" style="166" bestFit="1" customWidth="1"/>
    <col min="5" max="7" width="15.375" style="166" bestFit="1" customWidth="1"/>
    <col min="8" max="9" width="11.125" style="166" bestFit="1" customWidth="1"/>
    <col min="10" max="10" width="16.50390625" style="166" bestFit="1" customWidth="1"/>
    <col min="11" max="14" width="11.00390625" style="166" bestFit="1" customWidth="1"/>
    <col min="15" max="16384" width="9.00390625" style="166" customWidth="1"/>
  </cols>
  <sheetData>
    <row r="1" ht="27" customHeight="1">
      <c r="A1" s="165" t="s">
        <v>57</v>
      </c>
    </row>
    <row r="2" ht="27" customHeight="1" thickBot="1">
      <c r="N2" s="167" t="s">
        <v>58</v>
      </c>
    </row>
    <row r="3" spans="1:14" ht="22.5" customHeight="1">
      <c r="A3" s="820" t="s">
        <v>59</v>
      </c>
      <c r="B3" s="822" t="s">
        <v>60</v>
      </c>
      <c r="C3" s="825" t="s">
        <v>61</v>
      </c>
      <c r="D3" s="826"/>
      <c r="E3" s="826" t="s">
        <v>62</v>
      </c>
      <c r="F3" s="826"/>
      <c r="G3" s="826" t="s">
        <v>63</v>
      </c>
      <c r="H3" s="826" t="s">
        <v>64</v>
      </c>
      <c r="I3" s="826"/>
      <c r="J3" s="168" t="s">
        <v>65</v>
      </c>
      <c r="K3" s="826" t="s">
        <v>66</v>
      </c>
      <c r="L3" s="826"/>
      <c r="M3" s="826"/>
      <c r="N3" s="828"/>
    </row>
    <row r="4" spans="1:14" ht="22.5" customHeight="1">
      <c r="A4" s="821"/>
      <c r="B4" s="823"/>
      <c r="C4" s="829" t="s">
        <v>67</v>
      </c>
      <c r="D4" s="829" t="s">
        <v>68</v>
      </c>
      <c r="E4" s="829" t="s">
        <v>69</v>
      </c>
      <c r="F4" s="829" t="s">
        <v>68</v>
      </c>
      <c r="G4" s="827"/>
      <c r="H4" s="829" t="s">
        <v>70</v>
      </c>
      <c r="I4" s="829" t="s">
        <v>68</v>
      </c>
      <c r="J4" s="829" t="s">
        <v>71</v>
      </c>
      <c r="K4" s="169" t="s">
        <v>72</v>
      </c>
      <c r="L4" s="169" t="s">
        <v>73</v>
      </c>
      <c r="M4" s="829" t="s">
        <v>74</v>
      </c>
      <c r="N4" s="171" t="s">
        <v>75</v>
      </c>
    </row>
    <row r="5" spans="1:14" ht="22.5" customHeight="1">
      <c r="A5" s="821"/>
      <c r="B5" s="824"/>
      <c r="C5" s="830"/>
      <c r="D5" s="830"/>
      <c r="E5" s="830"/>
      <c r="F5" s="830"/>
      <c r="G5" s="173" t="s">
        <v>76</v>
      </c>
      <c r="H5" s="830"/>
      <c r="I5" s="830"/>
      <c r="J5" s="831"/>
      <c r="K5" s="173" t="s">
        <v>77</v>
      </c>
      <c r="L5" s="173" t="s">
        <v>77</v>
      </c>
      <c r="M5" s="830"/>
      <c r="N5" s="174" t="s">
        <v>77</v>
      </c>
    </row>
    <row r="6" spans="1:14" ht="24.75" customHeight="1" hidden="1">
      <c r="A6" s="821" t="s">
        <v>78</v>
      </c>
      <c r="B6" s="169" t="s">
        <v>79</v>
      </c>
      <c r="C6" s="175">
        <v>41916611</v>
      </c>
      <c r="D6" s="176">
        <v>41778994</v>
      </c>
      <c r="E6" s="176">
        <v>3637693053</v>
      </c>
      <c r="F6" s="176">
        <v>3634919494</v>
      </c>
      <c r="G6" s="176">
        <v>1046895162</v>
      </c>
      <c r="H6" s="176">
        <v>267990</v>
      </c>
      <c r="I6" s="176">
        <v>264867</v>
      </c>
      <c r="J6" s="176">
        <f aca="true" t="shared" si="0" ref="J6:J19">ROUND((E6*1000)/C6,0)</f>
        <v>86784</v>
      </c>
      <c r="K6" s="177">
        <v>101</v>
      </c>
      <c r="L6" s="177">
        <v>93.6</v>
      </c>
      <c r="M6" s="177">
        <v>99.8</v>
      </c>
      <c r="N6" s="178">
        <v>101.1</v>
      </c>
    </row>
    <row r="7" spans="1:14" ht="24.75" customHeight="1" hidden="1">
      <c r="A7" s="821"/>
      <c r="B7" s="170" t="s">
        <v>80</v>
      </c>
      <c r="C7" s="179">
        <v>78126226</v>
      </c>
      <c r="D7" s="180">
        <v>71809883</v>
      </c>
      <c r="E7" s="180">
        <v>1137318297</v>
      </c>
      <c r="F7" s="180">
        <v>1126737593</v>
      </c>
      <c r="G7" s="180">
        <v>61086630</v>
      </c>
      <c r="H7" s="180">
        <v>96870</v>
      </c>
      <c r="I7" s="180">
        <v>89622</v>
      </c>
      <c r="J7" s="180">
        <f t="shared" si="0"/>
        <v>14557</v>
      </c>
      <c r="K7" s="181">
        <v>99.3</v>
      </c>
      <c r="L7" s="181">
        <v>92.3</v>
      </c>
      <c r="M7" s="181">
        <v>101.1</v>
      </c>
      <c r="N7" s="182">
        <v>98.8</v>
      </c>
    </row>
    <row r="8" spans="1:14" ht="24.75" customHeight="1" hidden="1">
      <c r="A8" s="821"/>
      <c r="B8" s="183" t="s">
        <v>3</v>
      </c>
      <c r="C8" s="184">
        <f>C6+C7</f>
        <v>120042837</v>
      </c>
      <c r="D8" s="185">
        <f aca="true" t="shared" si="1" ref="D8:I8">D6+D7</f>
        <v>113588877</v>
      </c>
      <c r="E8" s="185">
        <f t="shared" si="1"/>
        <v>4775011350</v>
      </c>
      <c r="F8" s="185">
        <f t="shared" si="1"/>
        <v>4761657087</v>
      </c>
      <c r="G8" s="185">
        <f t="shared" si="1"/>
        <v>1107981792</v>
      </c>
      <c r="H8" s="185">
        <f t="shared" si="1"/>
        <v>364860</v>
      </c>
      <c r="I8" s="185">
        <f t="shared" si="1"/>
        <v>354489</v>
      </c>
      <c r="J8" s="185">
        <f t="shared" si="0"/>
        <v>39778</v>
      </c>
      <c r="K8" s="186">
        <v>99.9</v>
      </c>
      <c r="L8" s="186">
        <v>93.3</v>
      </c>
      <c r="M8" s="186">
        <v>99.9</v>
      </c>
      <c r="N8" s="187">
        <v>100.5</v>
      </c>
    </row>
    <row r="9" spans="1:14" ht="30" customHeight="1" hidden="1">
      <c r="A9" s="821" t="s">
        <v>81</v>
      </c>
      <c r="B9" s="169" t="s">
        <v>79</v>
      </c>
      <c r="C9" s="179">
        <v>42219974</v>
      </c>
      <c r="D9" s="180">
        <v>42082025</v>
      </c>
      <c r="E9" s="180">
        <v>3323503205</v>
      </c>
      <c r="F9" s="180">
        <v>3321057537</v>
      </c>
      <c r="G9" s="176">
        <v>1024764583</v>
      </c>
      <c r="H9" s="180">
        <v>269655</v>
      </c>
      <c r="I9" s="180">
        <v>266465</v>
      </c>
      <c r="J9" s="180">
        <f t="shared" si="0"/>
        <v>78719</v>
      </c>
      <c r="K9" s="188">
        <f aca="true" t="shared" si="2" ref="K9:K17">ROUND((D9/D6)*100,1)</f>
        <v>100.7</v>
      </c>
      <c r="L9" s="188">
        <f aca="true" t="shared" si="3" ref="L9:M24">ROUND((F9/F6)*100,1)</f>
        <v>91.4</v>
      </c>
      <c r="M9" s="188">
        <f t="shared" si="3"/>
        <v>97.9</v>
      </c>
      <c r="N9" s="189">
        <f aca="true" t="shared" si="4" ref="N9:N17">ROUND((I9/I6)*100,1)</f>
        <v>100.6</v>
      </c>
    </row>
    <row r="10" spans="1:14" ht="30" customHeight="1" hidden="1">
      <c r="A10" s="821"/>
      <c r="B10" s="170" t="s">
        <v>80</v>
      </c>
      <c r="C10" s="179">
        <v>77484662</v>
      </c>
      <c r="D10" s="180">
        <v>71135638</v>
      </c>
      <c r="E10" s="180">
        <v>998417480</v>
      </c>
      <c r="F10" s="180">
        <v>989657183</v>
      </c>
      <c r="G10" s="180">
        <v>60914899</v>
      </c>
      <c r="H10" s="180">
        <v>95986</v>
      </c>
      <c r="I10" s="180">
        <v>88758</v>
      </c>
      <c r="J10" s="180">
        <f t="shared" si="0"/>
        <v>12885</v>
      </c>
      <c r="K10" s="188">
        <f t="shared" si="2"/>
        <v>99.1</v>
      </c>
      <c r="L10" s="188">
        <f t="shared" si="3"/>
        <v>87.8</v>
      </c>
      <c r="M10" s="188">
        <f t="shared" si="3"/>
        <v>99.7</v>
      </c>
      <c r="N10" s="189">
        <f t="shared" si="4"/>
        <v>99</v>
      </c>
    </row>
    <row r="11" spans="1:14" ht="30" customHeight="1" hidden="1">
      <c r="A11" s="821"/>
      <c r="B11" s="183" t="s">
        <v>3</v>
      </c>
      <c r="C11" s="175">
        <f aca="true" t="shared" si="5" ref="C11:I11">C9+C10</f>
        <v>119704636</v>
      </c>
      <c r="D11" s="176">
        <f t="shared" si="5"/>
        <v>113217663</v>
      </c>
      <c r="E11" s="176">
        <f t="shared" si="5"/>
        <v>4321920685</v>
      </c>
      <c r="F11" s="176">
        <f t="shared" si="5"/>
        <v>4310714720</v>
      </c>
      <c r="G11" s="176">
        <f t="shared" si="5"/>
        <v>1085679482</v>
      </c>
      <c r="H11" s="176">
        <f t="shared" si="5"/>
        <v>365641</v>
      </c>
      <c r="I11" s="176">
        <f t="shared" si="5"/>
        <v>355223</v>
      </c>
      <c r="J11" s="176">
        <f t="shared" si="0"/>
        <v>36105</v>
      </c>
      <c r="K11" s="190">
        <f t="shared" si="2"/>
        <v>99.7</v>
      </c>
      <c r="L11" s="190">
        <f t="shared" si="3"/>
        <v>90.5</v>
      </c>
      <c r="M11" s="190">
        <f t="shared" si="3"/>
        <v>98</v>
      </c>
      <c r="N11" s="191">
        <f t="shared" si="4"/>
        <v>100.2</v>
      </c>
    </row>
    <row r="12" spans="1:14" ht="30" customHeight="1" hidden="1">
      <c r="A12" s="821" t="s">
        <v>82</v>
      </c>
      <c r="B12" s="169" t="s">
        <v>79</v>
      </c>
      <c r="C12" s="175">
        <v>42616146</v>
      </c>
      <c r="D12" s="176">
        <v>42476942</v>
      </c>
      <c r="E12" s="176">
        <v>3038832640</v>
      </c>
      <c r="F12" s="176">
        <v>3036554854</v>
      </c>
      <c r="G12" s="176">
        <v>995171083</v>
      </c>
      <c r="H12" s="176">
        <v>272643</v>
      </c>
      <c r="I12" s="176">
        <v>269413</v>
      </c>
      <c r="J12" s="176">
        <f t="shared" si="0"/>
        <v>71307</v>
      </c>
      <c r="K12" s="190">
        <f t="shared" si="2"/>
        <v>100.9</v>
      </c>
      <c r="L12" s="190">
        <f t="shared" si="3"/>
        <v>91.4</v>
      </c>
      <c r="M12" s="190">
        <f t="shared" si="3"/>
        <v>97.1</v>
      </c>
      <c r="N12" s="191">
        <f t="shared" si="4"/>
        <v>101.1</v>
      </c>
    </row>
    <row r="13" spans="1:14" ht="30" customHeight="1" hidden="1">
      <c r="A13" s="821"/>
      <c r="B13" s="170" t="s">
        <v>80</v>
      </c>
      <c r="C13" s="179">
        <v>76730820</v>
      </c>
      <c r="D13" s="180">
        <v>70534270</v>
      </c>
      <c r="E13" s="180">
        <v>898079545</v>
      </c>
      <c r="F13" s="180">
        <v>890443379</v>
      </c>
      <c r="G13" s="180">
        <v>62600152</v>
      </c>
      <c r="H13" s="180">
        <v>94698</v>
      </c>
      <c r="I13" s="180">
        <v>87680</v>
      </c>
      <c r="J13" s="180">
        <f t="shared" si="0"/>
        <v>11704</v>
      </c>
      <c r="K13" s="188">
        <f t="shared" si="2"/>
        <v>99.2</v>
      </c>
      <c r="L13" s="188">
        <f t="shared" si="3"/>
        <v>90</v>
      </c>
      <c r="M13" s="188">
        <f t="shared" si="3"/>
        <v>102.8</v>
      </c>
      <c r="N13" s="189">
        <f t="shared" si="4"/>
        <v>98.8</v>
      </c>
    </row>
    <row r="14" spans="1:14" ht="30" customHeight="1" hidden="1">
      <c r="A14" s="821"/>
      <c r="B14" s="183" t="s">
        <v>3</v>
      </c>
      <c r="C14" s="184">
        <f aca="true" t="shared" si="6" ref="C14:I14">C12+C13</f>
        <v>119346966</v>
      </c>
      <c r="D14" s="185">
        <f t="shared" si="6"/>
        <v>113011212</v>
      </c>
      <c r="E14" s="185">
        <f t="shared" si="6"/>
        <v>3936912185</v>
      </c>
      <c r="F14" s="185">
        <f t="shared" si="6"/>
        <v>3926998233</v>
      </c>
      <c r="G14" s="185">
        <f t="shared" si="6"/>
        <v>1057771235</v>
      </c>
      <c r="H14" s="185">
        <f t="shared" si="6"/>
        <v>367341</v>
      </c>
      <c r="I14" s="185">
        <f t="shared" si="6"/>
        <v>357093</v>
      </c>
      <c r="J14" s="185">
        <f t="shared" si="0"/>
        <v>32987</v>
      </c>
      <c r="K14" s="192">
        <f t="shared" si="2"/>
        <v>99.8</v>
      </c>
      <c r="L14" s="192">
        <f t="shared" si="3"/>
        <v>91.1</v>
      </c>
      <c r="M14" s="192">
        <f t="shared" si="3"/>
        <v>97.4</v>
      </c>
      <c r="N14" s="193">
        <f t="shared" si="4"/>
        <v>100.5</v>
      </c>
    </row>
    <row r="15" spans="1:14" ht="30" customHeight="1" hidden="1">
      <c r="A15" s="832" t="s">
        <v>83</v>
      </c>
      <c r="B15" s="169" t="s">
        <v>79</v>
      </c>
      <c r="C15" s="175">
        <v>42895801</v>
      </c>
      <c r="D15" s="176">
        <v>42751682</v>
      </c>
      <c r="E15" s="176">
        <v>2777450007</v>
      </c>
      <c r="F15" s="176">
        <v>2775297331</v>
      </c>
      <c r="G15" s="176">
        <v>940728925</v>
      </c>
      <c r="H15" s="176">
        <v>275580</v>
      </c>
      <c r="I15" s="176">
        <v>272249</v>
      </c>
      <c r="J15" s="176">
        <f t="shared" si="0"/>
        <v>64749</v>
      </c>
      <c r="K15" s="190">
        <f t="shared" si="2"/>
        <v>100.6</v>
      </c>
      <c r="L15" s="190">
        <f t="shared" si="3"/>
        <v>91.4</v>
      </c>
      <c r="M15" s="190">
        <f t="shared" si="3"/>
        <v>94.5</v>
      </c>
      <c r="N15" s="191">
        <f t="shared" si="4"/>
        <v>101.1</v>
      </c>
    </row>
    <row r="16" spans="1:14" ht="30" customHeight="1" hidden="1">
      <c r="A16" s="833"/>
      <c r="B16" s="170" t="s">
        <v>80</v>
      </c>
      <c r="C16" s="179">
        <v>76311168</v>
      </c>
      <c r="D16" s="180">
        <v>70106072</v>
      </c>
      <c r="E16" s="180">
        <v>802516158</v>
      </c>
      <c r="F16" s="180">
        <v>796105725</v>
      </c>
      <c r="G16" s="180">
        <v>62746118</v>
      </c>
      <c r="H16" s="180">
        <v>93852</v>
      </c>
      <c r="I16" s="180">
        <v>86851</v>
      </c>
      <c r="J16" s="180">
        <f t="shared" si="0"/>
        <v>10516</v>
      </c>
      <c r="K16" s="188">
        <f t="shared" si="2"/>
        <v>99.4</v>
      </c>
      <c r="L16" s="188">
        <f t="shared" si="3"/>
        <v>89.4</v>
      </c>
      <c r="M16" s="188">
        <f t="shared" si="3"/>
        <v>100.2</v>
      </c>
      <c r="N16" s="189">
        <f t="shared" si="4"/>
        <v>99.1</v>
      </c>
    </row>
    <row r="17" spans="1:14" ht="30" customHeight="1" hidden="1">
      <c r="A17" s="834"/>
      <c r="B17" s="169" t="s">
        <v>3</v>
      </c>
      <c r="C17" s="175">
        <f aca="true" t="shared" si="7" ref="C17:I17">C15+C16</f>
        <v>119206969</v>
      </c>
      <c r="D17" s="176">
        <f t="shared" si="7"/>
        <v>112857754</v>
      </c>
      <c r="E17" s="176">
        <f t="shared" si="7"/>
        <v>3579966165</v>
      </c>
      <c r="F17" s="176">
        <f t="shared" si="7"/>
        <v>3571403056</v>
      </c>
      <c r="G17" s="176">
        <f t="shared" si="7"/>
        <v>1003475043</v>
      </c>
      <c r="H17" s="176">
        <f t="shared" si="7"/>
        <v>369432</v>
      </c>
      <c r="I17" s="176">
        <f t="shared" si="7"/>
        <v>359100</v>
      </c>
      <c r="J17" s="176">
        <f t="shared" si="0"/>
        <v>30032</v>
      </c>
      <c r="K17" s="190">
        <f t="shared" si="2"/>
        <v>99.9</v>
      </c>
      <c r="L17" s="190">
        <f t="shared" si="3"/>
        <v>90.9</v>
      </c>
      <c r="M17" s="190">
        <f t="shared" si="3"/>
        <v>94.9</v>
      </c>
      <c r="N17" s="191">
        <f t="shared" si="4"/>
        <v>100.6</v>
      </c>
    </row>
    <row r="18" spans="1:14" ht="30" customHeight="1" hidden="1">
      <c r="A18" s="835" t="s">
        <v>84</v>
      </c>
      <c r="B18" s="169" t="s">
        <v>79</v>
      </c>
      <c r="C18" s="175">
        <v>43170530</v>
      </c>
      <c r="D18" s="176">
        <v>43019234</v>
      </c>
      <c r="E18" s="176">
        <v>2524821386</v>
      </c>
      <c r="F18" s="176">
        <v>2522751807</v>
      </c>
      <c r="G18" s="176">
        <v>896629137</v>
      </c>
      <c r="H18" s="176">
        <v>277629</v>
      </c>
      <c r="I18" s="176">
        <v>274168</v>
      </c>
      <c r="J18" s="176">
        <f t="shared" si="0"/>
        <v>58485</v>
      </c>
      <c r="K18" s="190">
        <f>ROUND((D18/D15)*100,1)</f>
        <v>100.6</v>
      </c>
      <c r="L18" s="190">
        <f t="shared" si="3"/>
        <v>90.9</v>
      </c>
      <c r="M18" s="190">
        <f t="shared" si="3"/>
        <v>95.3</v>
      </c>
      <c r="N18" s="191">
        <f>ROUND((I18/I15)*100,1)</f>
        <v>100.7</v>
      </c>
    </row>
    <row r="19" spans="1:14" ht="30" customHeight="1" hidden="1">
      <c r="A19" s="836"/>
      <c r="B19" s="170" t="s">
        <v>80</v>
      </c>
      <c r="C19" s="179">
        <v>75934396</v>
      </c>
      <c r="D19" s="180">
        <v>69753830</v>
      </c>
      <c r="E19" s="180">
        <v>712689934</v>
      </c>
      <c r="F19" s="180">
        <v>707621337</v>
      </c>
      <c r="G19" s="180">
        <v>64316467</v>
      </c>
      <c r="H19" s="180">
        <v>93176</v>
      </c>
      <c r="I19" s="180">
        <v>86235</v>
      </c>
      <c r="J19" s="180">
        <f t="shared" si="0"/>
        <v>9386</v>
      </c>
      <c r="K19" s="188">
        <f>ROUND((D19/D16)*100,1)</f>
        <v>99.5</v>
      </c>
      <c r="L19" s="188">
        <f t="shared" si="3"/>
        <v>88.9</v>
      </c>
      <c r="M19" s="188">
        <f t="shared" si="3"/>
        <v>102.5</v>
      </c>
      <c r="N19" s="189">
        <f>ROUND((I19/I16)*100,1)</f>
        <v>99.3</v>
      </c>
    </row>
    <row r="20" spans="1:14" ht="30" customHeight="1" hidden="1">
      <c r="A20" s="837"/>
      <c r="B20" s="183" t="s">
        <v>3</v>
      </c>
      <c r="C20" s="195">
        <f aca="true" t="shared" si="8" ref="C20:I20">C18+C19</f>
        <v>119104926</v>
      </c>
      <c r="D20" s="176">
        <f t="shared" si="8"/>
        <v>112773064</v>
      </c>
      <c r="E20" s="176">
        <f t="shared" si="8"/>
        <v>3237511320</v>
      </c>
      <c r="F20" s="185">
        <f t="shared" si="8"/>
        <v>3230373144</v>
      </c>
      <c r="G20" s="185">
        <f t="shared" si="8"/>
        <v>960945604</v>
      </c>
      <c r="H20" s="185">
        <f t="shared" si="8"/>
        <v>370805</v>
      </c>
      <c r="I20" s="176">
        <f t="shared" si="8"/>
        <v>360403</v>
      </c>
      <c r="J20" s="176">
        <v>30032</v>
      </c>
      <c r="K20" s="190">
        <f>ROUND((D20/D17)*100,1)</f>
        <v>99.9</v>
      </c>
      <c r="L20" s="190">
        <f t="shared" si="3"/>
        <v>90.5</v>
      </c>
      <c r="M20" s="190">
        <f t="shared" si="3"/>
        <v>95.8</v>
      </c>
      <c r="N20" s="191">
        <f>ROUND((I20/I17)*100,1)</f>
        <v>100.4</v>
      </c>
    </row>
    <row r="21" spans="1:14" ht="30" customHeight="1" hidden="1">
      <c r="A21" s="832" t="s">
        <v>85</v>
      </c>
      <c r="B21" s="169" t="s">
        <v>79</v>
      </c>
      <c r="C21" s="176">
        <v>43509287</v>
      </c>
      <c r="D21" s="176">
        <v>43345427</v>
      </c>
      <c r="E21" s="176">
        <v>2314195452</v>
      </c>
      <c r="F21" s="176">
        <v>2312045685</v>
      </c>
      <c r="G21" s="176">
        <v>847831607</v>
      </c>
      <c r="H21" s="176">
        <v>280212</v>
      </c>
      <c r="I21" s="176">
        <v>276540</v>
      </c>
      <c r="J21" s="176">
        <f>ROUND((E21*1000)/C21,0)</f>
        <v>53189</v>
      </c>
      <c r="K21" s="190">
        <f>ROUND((D21/D18)*100,1)</f>
        <v>100.8</v>
      </c>
      <c r="L21" s="190">
        <f t="shared" si="3"/>
        <v>91.6</v>
      </c>
      <c r="M21" s="190">
        <f t="shared" si="3"/>
        <v>94.6</v>
      </c>
      <c r="N21" s="191">
        <f>ROUND((I21/I18)*100,1)</f>
        <v>100.9</v>
      </c>
    </row>
    <row r="22" spans="1:14" ht="30" customHeight="1" hidden="1">
      <c r="A22" s="833"/>
      <c r="B22" s="170" t="s">
        <v>80</v>
      </c>
      <c r="C22" s="179">
        <v>75634218</v>
      </c>
      <c r="D22" s="180">
        <v>69462277</v>
      </c>
      <c r="E22" s="180">
        <v>631082716</v>
      </c>
      <c r="F22" s="180">
        <v>626855407</v>
      </c>
      <c r="G22" s="180">
        <v>65526869</v>
      </c>
      <c r="H22" s="180">
        <v>92449</v>
      </c>
      <c r="I22" s="180">
        <v>85461</v>
      </c>
      <c r="J22" s="180">
        <f>ROUND((E22*1000)/C22,0)</f>
        <v>8344</v>
      </c>
      <c r="K22" s="188">
        <f aca="true" t="shared" si="9" ref="K22:K71">ROUND((D22/D19)*100,1)</f>
        <v>99.6</v>
      </c>
      <c r="L22" s="188">
        <f t="shared" si="3"/>
        <v>88.6</v>
      </c>
      <c r="M22" s="188">
        <f t="shared" si="3"/>
        <v>101.9</v>
      </c>
      <c r="N22" s="189">
        <f aca="true" t="shared" si="10" ref="N22:N71">ROUND((I22/I19)*100,1)</f>
        <v>99.1</v>
      </c>
    </row>
    <row r="23" spans="1:14" ht="30" customHeight="1" hidden="1">
      <c r="A23" s="834"/>
      <c r="B23" s="183" t="s">
        <v>3</v>
      </c>
      <c r="C23" s="196">
        <f aca="true" t="shared" si="11" ref="C23:I23">C21+C22</f>
        <v>119143505</v>
      </c>
      <c r="D23" s="185">
        <f t="shared" si="11"/>
        <v>112807704</v>
      </c>
      <c r="E23" s="185">
        <f t="shared" si="11"/>
        <v>2945278168</v>
      </c>
      <c r="F23" s="185">
        <f t="shared" si="11"/>
        <v>2938901092</v>
      </c>
      <c r="G23" s="185">
        <f t="shared" si="11"/>
        <v>913358476</v>
      </c>
      <c r="H23" s="185">
        <f t="shared" si="11"/>
        <v>372661</v>
      </c>
      <c r="I23" s="185">
        <f t="shared" si="11"/>
        <v>362001</v>
      </c>
      <c r="J23" s="185">
        <v>27182</v>
      </c>
      <c r="K23" s="192">
        <f t="shared" si="9"/>
        <v>100</v>
      </c>
      <c r="L23" s="192">
        <f t="shared" si="3"/>
        <v>91</v>
      </c>
      <c r="M23" s="192">
        <f t="shared" si="3"/>
        <v>95</v>
      </c>
      <c r="N23" s="193">
        <f t="shared" si="10"/>
        <v>100.4</v>
      </c>
    </row>
    <row r="24" spans="1:14" ht="30" customHeight="1" hidden="1">
      <c r="A24" s="832" t="s">
        <v>86</v>
      </c>
      <c r="B24" s="169" t="s">
        <v>79</v>
      </c>
      <c r="C24" s="176">
        <v>43907715</v>
      </c>
      <c r="D24" s="176">
        <v>43731358</v>
      </c>
      <c r="E24" s="176">
        <v>2131888719</v>
      </c>
      <c r="F24" s="176">
        <v>2129629920</v>
      </c>
      <c r="G24" s="176">
        <v>798084392</v>
      </c>
      <c r="H24" s="176">
        <v>282904</v>
      </c>
      <c r="I24" s="176">
        <v>278991</v>
      </c>
      <c r="J24" s="176">
        <f>ROUND((E24*1000)/C24,0)</f>
        <v>48554</v>
      </c>
      <c r="K24" s="190">
        <f t="shared" si="9"/>
        <v>100.9</v>
      </c>
      <c r="L24" s="190">
        <f t="shared" si="3"/>
        <v>92.1</v>
      </c>
      <c r="M24" s="190">
        <f t="shared" si="3"/>
        <v>94.1</v>
      </c>
      <c r="N24" s="191">
        <f t="shared" si="10"/>
        <v>100.9</v>
      </c>
    </row>
    <row r="25" spans="1:14" ht="30" customHeight="1" hidden="1">
      <c r="A25" s="833"/>
      <c r="B25" s="170" t="s">
        <v>80</v>
      </c>
      <c r="C25" s="179">
        <v>75286833</v>
      </c>
      <c r="D25" s="180">
        <v>69143905</v>
      </c>
      <c r="E25" s="180">
        <v>560176387</v>
      </c>
      <c r="F25" s="180">
        <v>556819435</v>
      </c>
      <c r="G25" s="180">
        <v>67585226</v>
      </c>
      <c r="H25" s="180">
        <v>91709</v>
      </c>
      <c r="I25" s="180">
        <v>84724</v>
      </c>
      <c r="J25" s="180">
        <f>ROUND((E25*1000)/C25,0)</f>
        <v>7441</v>
      </c>
      <c r="K25" s="188">
        <f t="shared" si="9"/>
        <v>99.5</v>
      </c>
      <c r="L25" s="188">
        <f aca="true" t="shared" si="12" ref="L25:M40">ROUND((F25/F22)*100,1)</f>
        <v>88.8</v>
      </c>
      <c r="M25" s="188">
        <f t="shared" si="12"/>
        <v>103.1</v>
      </c>
      <c r="N25" s="189">
        <f>ROUND((I25/I22)*100,1)</f>
        <v>99.1</v>
      </c>
    </row>
    <row r="26" spans="1:14" ht="30" customHeight="1" hidden="1">
      <c r="A26" s="834"/>
      <c r="B26" s="183" t="s">
        <v>3</v>
      </c>
      <c r="C26" s="196">
        <f aca="true" t="shared" si="13" ref="C26:I26">C24+C25</f>
        <v>119194548</v>
      </c>
      <c r="D26" s="185">
        <f t="shared" si="13"/>
        <v>112875263</v>
      </c>
      <c r="E26" s="185">
        <f t="shared" si="13"/>
        <v>2692065106</v>
      </c>
      <c r="F26" s="185">
        <f t="shared" si="13"/>
        <v>2686449355</v>
      </c>
      <c r="G26" s="185">
        <f t="shared" si="13"/>
        <v>865669618</v>
      </c>
      <c r="H26" s="185">
        <f t="shared" si="13"/>
        <v>374613</v>
      </c>
      <c r="I26" s="185">
        <f t="shared" si="13"/>
        <v>363715</v>
      </c>
      <c r="J26" s="185">
        <f>ROUND((E26*1000)/C26,0)</f>
        <v>22585</v>
      </c>
      <c r="K26" s="192">
        <f t="shared" si="9"/>
        <v>100.1</v>
      </c>
      <c r="L26" s="192">
        <f t="shared" si="12"/>
        <v>91.4</v>
      </c>
      <c r="M26" s="192">
        <f t="shared" si="12"/>
        <v>94.8</v>
      </c>
      <c r="N26" s="193">
        <f t="shared" si="10"/>
        <v>100.5</v>
      </c>
    </row>
    <row r="27" spans="1:14" ht="30" customHeight="1" hidden="1">
      <c r="A27" s="832" t="s">
        <v>87</v>
      </c>
      <c r="B27" s="169" t="s">
        <v>79</v>
      </c>
      <c r="C27" s="176">
        <v>46760901</v>
      </c>
      <c r="D27" s="176">
        <v>46565657</v>
      </c>
      <c r="E27" s="176">
        <v>2078536640</v>
      </c>
      <c r="F27" s="176">
        <v>2076078071</v>
      </c>
      <c r="G27" s="176">
        <v>786602694</v>
      </c>
      <c r="H27" s="176">
        <v>296705</v>
      </c>
      <c r="I27" s="176">
        <v>292392</v>
      </c>
      <c r="J27" s="176">
        <f aca="true" t="shared" si="14" ref="J27:J78">ROUND((E27*1000)/C27,0)</f>
        <v>44450</v>
      </c>
      <c r="K27" s="190">
        <f t="shared" si="9"/>
        <v>106.5</v>
      </c>
      <c r="L27" s="190">
        <f>ROUND((F27/F24)*100,1)</f>
        <v>97.5</v>
      </c>
      <c r="M27" s="190">
        <f t="shared" si="12"/>
        <v>98.6</v>
      </c>
      <c r="N27" s="191">
        <f t="shared" si="10"/>
        <v>104.8</v>
      </c>
    </row>
    <row r="28" spans="1:14" ht="30" customHeight="1" hidden="1">
      <c r="A28" s="833"/>
      <c r="B28" s="170" t="s">
        <v>80</v>
      </c>
      <c r="C28" s="179">
        <v>77897748</v>
      </c>
      <c r="D28" s="180">
        <v>71644644</v>
      </c>
      <c r="E28" s="180">
        <v>527449251</v>
      </c>
      <c r="F28" s="180">
        <v>524915568</v>
      </c>
      <c r="G28" s="180">
        <v>72214786</v>
      </c>
      <c r="H28" s="180">
        <v>96358</v>
      </c>
      <c r="I28" s="180">
        <v>89149</v>
      </c>
      <c r="J28" s="180">
        <f t="shared" si="14"/>
        <v>6771</v>
      </c>
      <c r="K28" s="188">
        <f t="shared" si="9"/>
        <v>103.6</v>
      </c>
      <c r="L28" s="188">
        <f t="shared" si="12"/>
        <v>94.3</v>
      </c>
      <c r="M28" s="188">
        <f t="shared" si="12"/>
        <v>106.8</v>
      </c>
      <c r="N28" s="189">
        <f t="shared" si="10"/>
        <v>105.2</v>
      </c>
    </row>
    <row r="29" spans="1:14" ht="30" customHeight="1" hidden="1">
      <c r="A29" s="834"/>
      <c r="B29" s="183" t="s">
        <v>3</v>
      </c>
      <c r="C29" s="196">
        <f aca="true" t="shared" si="15" ref="C29:I29">C27+C28</f>
        <v>124658649</v>
      </c>
      <c r="D29" s="185">
        <f t="shared" si="15"/>
        <v>118210301</v>
      </c>
      <c r="E29" s="185">
        <f t="shared" si="15"/>
        <v>2605985891</v>
      </c>
      <c r="F29" s="185">
        <f t="shared" si="15"/>
        <v>2600993639</v>
      </c>
      <c r="G29" s="185">
        <f t="shared" si="15"/>
        <v>858817480</v>
      </c>
      <c r="H29" s="185">
        <f t="shared" si="15"/>
        <v>393063</v>
      </c>
      <c r="I29" s="185">
        <f t="shared" si="15"/>
        <v>381541</v>
      </c>
      <c r="J29" s="185">
        <f t="shared" si="14"/>
        <v>20905</v>
      </c>
      <c r="K29" s="192">
        <f t="shared" si="9"/>
        <v>104.7</v>
      </c>
      <c r="L29" s="192">
        <f t="shared" si="12"/>
        <v>96.8</v>
      </c>
      <c r="M29" s="192">
        <f t="shared" si="12"/>
        <v>99.2</v>
      </c>
      <c r="N29" s="193">
        <f t="shared" si="10"/>
        <v>104.9</v>
      </c>
    </row>
    <row r="30" spans="1:14" ht="30" customHeight="1" hidden="1">
      <c r="A30" s="832" t="s">
        <v>88</v>
      </c>
      <c r="B30" s="169" t="s">
        <v>79</v>
      </c>
      <c r="C30" s="176">
        <v>47232164</v>
      </c>
      <c r="D30" s="176">
        <v>47026640</v>
      </c>
      <c r="E30" s="176">
        <v>2009912063</v>
      </c>
      <c r="F30" s="176">
        <v>2007378257</v>
      </c>
      <c r="G30" s="176">
        <v>766044679</v>
      </c>
      <c r="H30" s="176">
        <v>300541</v>
      </c>
      <c r="I30" s="176">
        <v>296033</v>
      </c>
      <c r="J30" s="176">
        <f t="shared" si="14"/>
        <v>42554</v>
      </c>
      <c r="K30" s="197">
        <f t="shared" si="9"/>
        <v>101</v>
      </c>
      <c r="L30" s="197">
        <f t="shared" si="12"/>
        <v>96.7</v>
      </c>
      <c r="M30" s="197">
        <f t="shared" si="12"/>
        <v>97.4</v>
      </c>
      <c r="N30" s="198">
        <f t="shared" si="10"/>
        <v>101.2</v>
      </c>
    </row>
    <row r="31" spans="1:14" ht="30" customHeight="1" hidden="1">
      <c r="A31" s="833"/>
      <c r="B31" s="170" t="s">
        <v>80</v>
      </c>
      <c r="C31" s="179">
        <v>77472603</v>
      </c>
      <c r="D31" s="180">
        <v>71261812</v>
      </c>
      <c r="E31" s="180">
        <v>491891745</v>
      </c>
      <c r="F31" s="180">
        <v>489802029</v>
      </c>
      <c r="G31" s="180">
        <v>76287742</v>
      </c>
      <c r="H31" s="180">
        <v>95469</v>
      </c>
      <c r="I31" s="180">
        <v>88366</v>
      </c>
      <c r="J31" s="180">
        <f t="shared" si="14"/>
        <v>6349</v>
      </c>
      <c r="K31" s="188">
        <f t="shared" si="9"/>
        <v>99.5</v>
      </c>
      <c r="L31" s="188">
        <f t="shared" si="12"/>
        <v>93.3</v>
      </c>
      <c r="M31" s="188">
        <f t="shared" si="12"/>
        <v>105.6</v>
      </c>
      <c r="N31" s="189">
        <f t="shared" si="10"/>
        <v>99.1</v>
      </c>
    </row>
    <row r="32" spans="1:14" ht="30" customHeight="1" hidden="1">
      <c r="A32" s="834"/>
      <c r="B32" s="183" t="s">
        <v>3</v>
      </c>
      <c r="C32" s="196">
        <f aca="true" t="shared" si="16" ref="C32:I32">C30+C31</f>
        <v>124704767</v>
      </c>
      <c r="D32" s="185">
        <f t="shared" si="16"/>
        <v>118288452</v>
      </c>
      <c r="E32" s="185">
        <f t="shared" si="16"/>
        <v>2501803808</v>
      </c>
      <c r="F32" s="185">
        <f t="shared" si="16"/>
        <v>2497180286</v>
      </c>
      <c r="G32" s="185">
        <f t="shared" si="16"/>
        <v>842332421</v>
      </c>
      <c r="H32" s="185">
        <f t="shared" si="16"/>
        <v>396010</v>
      </c>
      <c r="I32" s="185">
        <f t="shared" si="16"/>
        <v>384399</v>
      </c>
      <c r="J32" s="185">
        <f t="shared" si="14"/>
        <v>20062</v>
      </c>
      <c r="K32" s="192">
        <f t="shared" si="9"/>
        <v>100.1</v>
      </c>
      <c r="L32" s="192">
        <f t="shared" si="12"/>
        <v>96</v>
      </c>
      <c r="M32" s="192">
        <f t="shared" si="12"/>
        <v>98.1</v>
      </c>
      <c r="N32" s="193">
        <f t="shared" si="10"/>
        <v>100.7</v>
      </c>
    </row>
    <row r="33" spans="1:14" ht="30" customHeight="1" hidden="1">
      <c r="A33" s="199"/>
      <c r="B33" s="170" t="s">
        <v>79</v>
      </c>
      <c r="C33" s="179">
        <v>47659222</v>
      </c>
      <c r="D33" s="180">
        <v>47448735</v>
      </c>
      <c r="E33" s="180">
        <v>1990887004</v>
      </c>
      <c r="F33" s="180">
        <v>1988371100</v>
      </c>
      <c r="G33" s="180">
        <v>761777856</v>
      </c>
      <c r="H33" s="180">
        <v>303623</v>
      </c>
      <c r="I33" s="180">
        <v>299017</v>
      </c>
      <c r="J33" s="180">
        <f t="shared" si="14"/>
        <v>41773</v>
      </c>
      <c r="K33" s="200">
        <f t="shared" si="9"/>
        <v>100.9</v>
      </c>
      <c r="L33" s="200">
        <f t="shared" si="12"/>
        <v>99.1</v>
      </c>
      <c r="M33" s="200">
        <f t="shared" si="12"/>
        <v>99.4</v>
      </c>
      <c r="N33" s="201">
        <f t="shared" si="10"/>
        <v>101</v>
      </c>
    </row>
    <row r="34" spans="1:14" ht="30" customHeight="1" hidden="1">
      <c r="A34" s="199" t="s">
        <v>89</v>
      </c>
      <c r="B34" s="170" t="s">
        <v>80</v>
      </c>
      <c r="C34" s="179">
        <v>76923835</v>
      </c>
      <c r="D34" s="180">
        <v>70747283</v>
      </c>
      <c r="E34" s="180">
        <v>469327491</v>
      </c>
      <c r="F34" s="180">
        <v>467456509</v>
      </c>
      <c r="G34" s="180">
        <v>79864265</v>
      </c>
      <c r="H34" s="180">
        <v>94598</v>
      </c>
      <c r="I34" s="180">
        <v>87540</v>
      </c>
      <c r="J34" s="180">
        <f t="shared" si="14"/>
        <v>6101</v>
      </c>
      <c r="K34" s="200">
        <f t="shared" si="9"/>
        <v>99.3</v>
      </c>
      <c r="L34" s="200">
        <f t="shared" si="12"/>
        <v>95.4</v>
      </c>
      <c r="M34" s="200">
        <f t="shared" si="12"/>
        <v>104.7</v>
      </c>
      <c r="N34" s="201">
        <f t="shared" si="10"/>
        <v>99.1</v>
      </c>
    </row>
    <row r="35" spans="1:14" ht="30" customHeight="1" hidden="1">
      <c r="A35" s="202"/>
      <c r="B35" s="183" t="s">
        <v>3</v>
      </c>
      <c r="C35" s="184">
        <f aca="true" t="shared" si="17" ref="C35:I35">SUM(C33:C34)</f>
        <v>124583057</v>
      </c>
      <c r="D35" s="184">
        <f t="shared" si="17"/>
        <v>118196018</v>
      </c>
      <c r="E35" s="184">
        <f t="shared" si="17"/>
        <v>2460214495</v>
      </c>
      <c r="F35" s="184">
        <f t="shared" si="17"/>
        <v>2455827609</v>
      </c>
      <c r="G35" s="185">
        <f t="shared" si="17"/>
        <v>841642121</v>
      </c>
      <c r="H35" s="185">
        <f t="shared" si="17"/>
        <v>398221</v>
      </c>
      <c r="I35" s="184">
        <f t="shared" si="17"/>
        <v>386557</v>
      </c>
      <c r="J35" s="185">
        <f t="shared" si="14"/>
        <v>19748</v>
      </c>
      <c r="K35" s="186">
        <f t="shared" si="9"/>
        <v>99.9</v>
      </c>
      <c r="L35" s="186">
        <f t="shared" si="12"/>
        <v>98.3</v>
      </c>
      <c r="M35" s="186">
        <f t="shared" si="12"/>
        <v>99.9</v>
      </c>
      <c r="N35" s="187">
        <f t="shared" si="10"/>
        <v>100.6</v>
      </c>
    </row>
    <row r="36" spans="1:14" ht="30" customHeight="1" hidden="1">
      <c r="A36" s="199"/>
      <c r="B36" s="170" t="s">
        <v>79</v>
      </c>
      <c r="C36" s="203">
        <v>48044928</v>
      </c>
      <c r="D36" s="204">
        <v>47827133</v>
      </c>
      <c r="E36" s="204">
        <v>1988174094</v>
      </c>
      <c r="F36" s="204">
        <v>1985599550</v>
      </c>
      <c r="G36" s="204">
        <v>756931754</v>
      </c>
      <c r="H36" s="204">
        <v>305372</v>
      </c>
      <c r="I36" s="204">
        <v>300700</v>
      </c>
      <c r="J36" s="204">
        <f t="shared" si="14"/>
        <v>41382</v>
      </c>
      <c r="K36" s="205">
        <f t="shared" si="9"/>
        <v>100.8</v>
      </c>
      <c r="L36" s="205">
        <f t="shared" si="12"/>
        <v>99.9</v>
      </c>
      <c r="M36" s="205">
        <f t="shared" si="12"/>
        <v>99.4</v>
      </c>
      <c r="N36" s="206">
        <f t="shared" si="10"/>
        <v>100.6</v>
      </c>
    </row>
    <row r="37" spans="1:14" ht="30" customHeight="1" hidden="1">
      <c r="A37" s="199" t="s">
        <v>90</v>
      </c>
      <c r="B37" s="170" t="s">
        <v>80</v>
      </c>
      <c r="C37" s="203">
        <v>76101296</v>
      </c>
      <c r="D37" s="204">
        <v>69543162</v>
      </c>
      <c r="E37" s="204">
        <v>447652695</v>
      </c>
      <c r="F37" s="204">
        <v>445923809</v>
      </c>
      <c r="G37" s="204">
        <v>82415353</v>
      </c>
      <c r="H37" s="204">
        <v>93390</v>
      </c>
      <c r="I37" s="204">
        <v>86281</v>
      </c>
      <c r="J37" s="204">
        <f t="shared" si="14"/>
        <v>5882</v>
      </c>
      <c r="K37" s="205">
        <f t="shared" si="9"/>
        <v>98.3</v>
      </c>
      <c r="L37" s="205">
        <f t="shared" si="12"/>
        <v>95.4</v>
      </c>
      <c r="M37" s="205">
        <f t="shared" si="12"/>
        <v>103.2</v>
      </c>
      <c r="N37" s="206">
        <f t="shared" si="10"/>
        <v>98.6</v>
      </c>
    </row>
    <row r="38" spans="1:14" ht="30" customHeight="1" hidden="1">
      <c r="A38" s="202"/>
      <c r="B38" s="183" t="s">
        <v>3</v>
      </c>
      <c r="C38" s="207">
        <f aca="true" t="shared" si="18" ref="C38:I38">SUM(C36:C37)</f>
        <v>124146224</v>
      </c>
      <c r="D38" s="207">
        <f t="shared" si="18"/>
        <v>117370295</v>
      </c>
      <c r="E38" s="207">
        <f t="shared" si="18"/>
        <v>2435826789</v>
      </c>
      <c r="F38" s="207">
        <f t="shared" si="18"/>
        <v>2431523359</v>
      </c>
      <c r="G38" s="208">
        <f>SUM(G36:G37)</f>
        <v>839347107</v>
      </c>
      <c r="H38" s="208">
        <f t="shared" si="18"/>
        <v>398762</v>
      </c>
      <c r="I38" s="207">
        <f t="shared" si="18"/>
        <v>386981</v>
      </c>
      <c r="J38" s="208">
        <f t="shared" si="14"/>
        <v>19621</v>
      </c>
      <c r="K38" s="209">
        <f t="shared" si="9"/>
        <v>99.3</v>
      </c>
      <c r="L38" s="209">
        <f t="shared" si="12"/>
        <v>99</v>
      </c>
      <c r="M38" s="209">
        <f t="shared" si="12"/>
        <v>99.7</v>
      </c>
      <c r="N38" s="210">
        <f t="shared" si="10"/>
        <v>100.1</v>
      </c>
    </row>
    <row r="39" spans="1:14" ht="30" customHeight="1" hidden="1">
      <c r="A39" s="199"/>
      <c r="B39" s="170" t="s">
        <v>79</v>
      </c>
      <c r="C39" s="203">
        <v>48312561</v>
      </c>
      <c r="D39" s="204">
        <v>48087692</v>
      </c>
      <c r="E39" s="204">
        <v>1949631120</v>
      </c>
      <c r="F39" s="204">
        <v>1947036008</v>
      </c>
      <c r="G39" s="204">
        <v>744238778</v>
      </c>
      <c r="H39" s="204">
        <v>307024</v>
      </c>
      <c r="I39" s="204">
        <v>302246</v>
      </c>
      <c r="J39" s="204">
        <f t="shared" si="14"/>
        <v>40355</v>
      </c>
      <c r="K39" s="205">
        <f t="shared" si="9"/>
        <v>100.5</v>
      </c>
      <c r="L39" s="205">
        <f t="shared" si="12"/>
        <v>98.1</v>
      </c>
      <c r="M39" s="205">
        <f t="shared" si="12"/>
        <v>98.3</v>
      </c>
      <c r="N39" s="206">
        <f t="shared" si="10"/>
        <v>100.5</v>
      </c>
    </row>
    <row r="40" spans="1:14" ht="30" customHeight="1" hidden="1">
      <c r="A40" s="199" t="s">
        <v>91</v>
      </c>
      <c r="B40" s="170" t="s">
        <v>80</v>
      </c>
      <c r="C40" s="203">
        <v>75642990</v>
      </c>
      <c r="D40" s="204">
        <v>69108151</v>
      </c>
      <c r="E40" s="204">
        <v>429176971</v>
      </c>
      <c r="F40" s="204">
        <v>427676898</v>
      </c>
      <c r="G40" s="204">
        <v>86672894</v>
      </c>
      <c r="H40" s="204">
        <v>92671</v>
      </c>
      <c r="I40" s="204">
        <v>85628</v>
      </c>
      <c r="J40" s="204">
        <f t="shared" si="14"/>
        <v>5674</v>
      </c>
      <c r="K40" s="205">
        <f t="shared" si="9"/>
        <v>99.4</v>
      </c>
      <c r="L40" s="205">
        <f t="shared" si="12"/>
        <v>95.9</v>
      </c>
      <c r="M40" s="205">
        <f t="shared" si="12"/>
        <v>105.2</v>
      </c>
      <c r="N40" s="206">
        <f t="shared" si="10"/>
        <v>99.2</v>
      </c>
    </row>
    <row r="41" spans="1:14" ht="30" customHeight="1" hidden="1">
      <c r="A41" s="202"/>
      <c r="B41" s="183" t="s">
        <v>3</v>
      </c>
      <c r="C41" s="207">
        <f aca="true" t="shared" si="19" ref="C41:I41">SUM(C39:C40)</f>
        <v>123955551</v>
      </c>
      <c r="D41" s="207">
        <f t="shared" si="19"/>
        <v>117195843</v>
      </c>
      <c r="E41" s="207">
        <f t="shared" si="19"/>
        <v>2378808091</v>
      </c>
      <c r="F41" s="207">
        <f t="shared" si="19"/>
        <v>2374712906</v>
      </c>
      <c r="G41" s="208">
        <f t="shared" si="19"/>
        <v>830911672</v>
      </c>
      <c r="H41" s="208">
        <f t="shared" si="19"/>
        <v>399695</v>
      </c>
      <c r="I41" s="207">
        <f t="shared" si="19"/>
        <v>387874</v>
      </c>
      <c r="J41" s="208">
        <f t="shared" si="14"/>
        <v>19191</v>
      </c>
      <c r="K41" s="209">
        <f t="shared" si="9"/>
        <v>99.9</v>
      </c>
      <c r="L41" s="209">
        <f aca="true" t="shared" si="20" ref="L41:M56">ROUND((F41/F38)*100,1)</f>
        <v>97.7</v>
      </c>
      <c r="M41" s="209">
        <f t="shared" si="20"/>
        <v>99</v>
      </c>
      <c r="N41" s="210">
        <f t="shared" si="10"/>
        <v>100.2</v>
      </c>
    </row>
    <row r="42" spans="1:14" ht="30" customHeight="1" hidden="1">
      <c r="A42" s="199"/>
      <c r="B42" s="170" t="s">
        <v>79</v>
      </c>
      <c r="C42" s="203">
        <v>48575014</v>
      </c>
      <c r="D42" s="204">
        <v>48338591</v>
      </c>
      <c r="E42" s="204">
        <v>1900612172</v>
      </c>
      <c r="F42" s="204">
        <v>1897935657</v>
      </c>
      <c r="G42" s="204">
        <v>727975065</v>
      </c>
      <c r="H42" s="204">
        <v>308709</v>
      </c>
      <c r="I42" s="204">
        <v>303745</v>
      </c>
      <c r="J42" s="204">
        <f t="shared" si="14"/>
        <v>39127</v>
      </c>
      <c r="K42" s="205">
        <f t="shared" si="9"/>
        <v>100.5</v>
      </c>
      <c r="L42" s="205">
        <f t="shared" si="20"/>
        <v>97.5</v>
      </c>
      <c r="M42" s="205">
        <f t="shared" si="20"/>
        <v>97.8</v>
      </c>
      <c r="N42" s="206">
        <f t="shared" si="10"/>
        <v>100.5</v>
      </c>
    </row>
    <row r="43" spans="1:14" ht="30" customHeight="1" hidden="1">
      <c r="A43" s="194" t="s">
        <v>92</v>
      </c>
      <c r="B43" s="170" t="s">
        <v>80</v>
      </c>
      <c r="C43" s="203">
        <v>75366119</v>
      </c>
      <c r="D43" s="203">
        <v>68815418</v>
      </c>
      <c r="E43" s="203">
        <v>406957990</v>
      </c>
      <c r="F43" s="203">
        <v>405641315</v>
      </c>
      <c r="G43" s="204">
        <v>90395667</v>
      </c>
      <c r="H43" s="204">
        <v>91888</v>
      </c>
      <c r="I43" s="204">
        <v>84877</v>
      </c>
      <c r="J43" s="204">
        <f t="shared" si="14"/>
        <v>5400</v>
      </c>
      <c r="K43" s="205">
        <f>ROUND((D43/D40)*100,1)</f>
        <v>99.6</v>
      </c>
      <c r="L43" s="205">
        <f t="shared" si="20"/>
        <v>94.8</v>
      </c>
      <c r="M43" s="205">
        <f t="shared" si="20"/>
        <v>104.3</v>
      </c>
      <c r="N43" s="206">
        <f t="shared" si="10"/>
        <v>99.1</v>
      </c>
    </row>
    <row r="44" spans="1:14" ht="30" customHeight="1" hidden="1">
      <c r="A44" s="202"/>
      <c r="B44" s="183" t="s">
        <v>3</v>
      </c>
      <c r="C44" s="207">
        <v>123955551</v>
      </c>
      <c r="D44" s="207">
        <v>117195843</v>
      </c>
      <c r="E44" s="207">
        <v>2378808091</v>
      </c>
      <c r="F44" s="207">
        <v>2374712906</v>
      </c>
      <c r="G44" s="208">
        <v>830911672</v>
      </c>
      <c r="H44" s="208">
        <f>SUM(H42:H43)</f>
        <v>400597</v>
      </c>
      <c r="I44" s="207">
        <f>SUM(I42:I43)</f>
        <v>388622</v>
      </c>
      <c r="J44" s="208">
        <f t="shared" si="14"/>
        <v>19191</v>
      </c>
      <c r="K44" s="209">
        <f t="shared" si="9"/>
        <v>100</v>
      </c>
      <c r="L44" s="209">
        <f t="shared" si="20"/>
        <v>100</v>
      </c>
      <c r="M44" s="209">
        <f t="shared" si="20"/>
        <v>100</v>
      </c>
      <c r="N44" s="210">
        <f t="shared" si="10"/>
        <v>100.2</v>
      </c>
    </row>
    <row r="45" spans="1:14" ht="30" customHeight="1" hidden="1">
      <c r="A45" s="199"/>
      <c r="B45" s="170" t="s">
        <v>79</v>
      </c>
      <c r="C45" s="203">
        <v>48895222</v>
      </c>
      <c r="D45" s="204">
        <v>48648101</v>
      </c>
      <c r="E45" s="204">
        <v>1859106461</v>
      </c>
      <c r="F45" s="204">
        <v>1856303902</v>
      </c>
      <c r="G45" s="204">
        <v>709349702</v>
      </c>
      <c r="H45" s="204">
        <v>310907</v>
      </c>
      <c r="I45" s="204">
        <v>305814</v>
      </c>
      <c r="J45" s="204">
        <f t="shared" si="14"/>
        <v>38022</v>
      </c>
      <c r="K45" s="205">
        <f t="shared" si="9"/>
        <v>100.6</v>
      </c>
      <c r="L45" s="205">
        <f t="shared" si="20"/>
        <v>97.8</v>
      </c>
      <c r="M45" s="205">
        <f t="shared" si="20"/>
        <v>97.4</v>
      </c>
      <c r="N45" s="206">
        <f t="shared" si="10"/>
        <v>100.7</v>
      </c>
    </row>
    <row r="46" spans="1:14" ht="30" customHeight="1" hidden="1">
      <c r="A46" s="199" t="s">
        <v>93</v>
      </c>
      <c r="B46" s="170" t="s">
        <v>80</v>
      </c>
      <c r="C46" s="203">
        <v>74887925</v>
      </c>
      <c r="D46" s="203">
        <v>68341391</v>
      </c>
      <c r="E46" s="203">
        <v>385451866</v>
      </c>
      <c r="F46" s="203">
        <v>384301983</v>
      </c>
      <c r="G46" s="203">
        <v>93923107</v>
      </c>
      <c r="H46" s="204">
        <v>91038</v>
      </c>
      <c r="I46" s="204">
        <v>84080</v>
      </c>
      <c r="J46" s="204">
        <f t="shared" si="14"/>
        <v>5147</v>
      </c>
      <c r="K46" s="205">
        <f t="shared" si="9"/>
        <v>99.3</v>
      </c>
      <c r="L46" s="205">
        <f t="shared" si="20"/>
        <v>94.7</v>
      </c>
      <c r="M46" s="205">
        <f t="shared" si="20"/>
        <v>103.9</v>
      </c>
      <c r="N46" s="206">
        <f t="shared" si="10"/>
        <v>99.1</v>
      </c>
    </row>
    <row r="47" spans="1:14" ht="30" customHeight="1" hidden="1">
      <c r="A47" s="202"/>
      <c r="B47" s="183" t="s">
        <v>3</v>
      </c>
      <c r="C47" s="208">
        <f aca="true" t="shared" si="21" ref="C47:I47">SUM(C45:C46)</f>
        <v>123783147</v>
      </c>
      <c r="D47" s="208">
        <f t="shared" si="21"/>
        <v>116989492</v>
      </c>
      <c r="E47" s="208">
        <f t="shared" si="21"/>
        <v>2244558327</v>
      </c>
      <c r="F47" s="208">
        <f t="shared" si="21"/>
        <v>2240605885</v>
      </c>
      <c r="G47" s="208">
        <f t="shared" si="21"/>
        <v>803272809</v>
      </c>
      <c r="H47" s="208">
        <f t="shared" si="21"/>
        <v>401945</v>
      </c>
      <c r="I47" s="208">
        <f t="shared" si="21"/>
        <v>389894</v>
      </c>
      <c r="J47" s="208">
        <f t="shared" si="14"/>
        <v>18133</v>
      </c>
      <c r="K47" s="209">
        <f t="shared" si="9"/>
        <v>99.8</v>
      </c>
      <c r="L47" s="209">
        <f t="shared" si="20"/>
        <v>94.4</v>
      </c>
      <c r="M47" s="209">
        <f t="shared" si="20"/>
        <v>96.7</v>
      </c>
      <c r="N47" s="210">
        <f t="shared" si="10"/>
        <v>100.3</v>
      </c>
    </row>
    <row r="48" spans="1:14" ht="30" customHeight="1" hidden="1">
      <c r="A48" s="199"/>
      <c r="B48" s="170" t="s">
        <v>94</v>
      </c>
      <c r="C48" s="203">
        <v>49164098</v>
      </c>
      <c r="D48" s="204">
        <v>48900877</v>
      </c>
      <c r="E48" s="204">
        <v>1824147415</v>
      </c>
      <c r="F48" s="204">
        <v>1821200559</v>
      </c>
      <c r="G48" s="204">
        <v>695217172</v>
      </c>
      <c r="H48" s="204">
        <v>313361</v>
      </c>
      <c r="I48" s="204">
        <v>308056</v>
      </c>
      <c r="J48" s="204">
        <f t="shared" si="14"/>
        <v>37103</v>
      </c>
      <c r="K48" s="211">
        <f t="shared" si="9"/>
        <v>100.5</v>
      </c>
      <c r="L48" s="211">
        <f t="shared" si="20"/>
        <v>98.1</v>
      </c>
      <c r="M48" s="211">
        <f t="shared" si="20"/>
        <v>98</v>
      </c>
      <c r="N48" s="212">
        <f t="shared" si="10"/>
        <v>100.7</v>
      </c>
    </row>
    <row r="49" spans="1:14" ht="30" customHeight="1" hidden="1">
      <c r="A49" s="199" t="s">
        <v>95</v>
      </c>
      <c r="B49" s="172" t="s">
        <v>96</v>
      </c>
      <c r="C49" s="213">
        <v>74676862</v>
      </c>
      <c r="D49" s="214">
        <v>68149428</v>
      </c>
      <c r="E49" s="214">
        <v>366660864</v>
      </c>
      <c r="F49" s="214">
        <v>365685224</v>
      </c>
      <c r="G49" s="214">
        <v>96225062</v>
      </c>
      <c r="H49" s="214">
        <v>90381</v>
      </c>
      <c r="I49" s="214">
        <v>83460</v>
      </c>
      <c r="J49" s="214">
        <f t="shared" si="14"/>
        <v>4910</v>
      </c>
      <c r="K49" s="215">
        <f t="shared" si="9"/>
        <v>99.7</v>
      </c>
      <c r="L49" s="215">
        <f t="shared" si="20"/>
        <v>95.2</v>
      </c>
      <c r="M49" s="215">
        <f t="shared" si="20"/>
        <v>102.5</v>
      </c>
      <c r="N49" s="216">
        <f t="shared" si="10"/>
        <v>99.3</v>
      </c>
    </row>
    <row r="50" spans="1:14" ht="30" customHeight="1" hidden="1">
      <c r="A50" s="202"/>
      <c r="B50" s="172" t="s">
        <v>97</v>
      </c>
      <c r="C50" s="213">
        <f aca="true" t="shared" si="22" ref="C50:I50">SUM(C48:C49)</f>
        <v>123840960</v>
      </c>
      <c r="D50" s="214">
        <f t="shared" si="22"/>
        <v>117050305</v>
      </c>
      <c r="E50" s="214">
        <f t="shared" si="22"/>
        <v>2190808279</v>
      </c>
      <c r="F50" s="214">
        <f t="shared" si="22"/>
        <v>2186885783</v>
      </c>
      <c r="G50" s="214">
        <f t="shared" si="22"/>
        <v>791442234</v>
      </c>
      <c r="H50" s="214">
        <f t="shared" si="22"/>
        <v>403742</v>
      </c>
      <c r="I50" s="214">
        <f t="shared" si="22"/>
        <v>391516</v>
      </c>
      <c r="J50" s="214">
        <f t="shared" si="14"/>
        <v>17690</v>
      </c>
      <c r="K50" s="215">
        <f t="shared" si="9"/>
        <v>100.1</v>
      </c>
      <c r="L50" s="215">
        <f t="shared" si="20"/>
        <v>97.6</v>
      </c>
      <c r="M50" s="215">
        <f t="shared" si="20"/>
        <v>98.5</v>
      </c>
      <c r="N50" s="216">
        <f t="shared" si="10"/>
        <v>100.4</v>
      </c>
    </row>
    <row r="51" spans="1:14" ht="30" customHeight="1" hidden="1">
      <c r="A51" s="199"/>
      <c r="B51" s="170" t="s">
        <v>94</v>
      </c>
      <c r="C51" s="203">
        <v>49599644</v>
      </c>
      <c r="D51" s="204">
        <v>49325917</v>
      </c>
      <c r="E51" s="204">
        <v>1816342689</v>
      </c>
      <c r="F51" s="204">
        <v>1813330262</v>
      </c>
      <c r="G51" s="204">
        <v>691647670</v>
      </c>
      <c r="H51" s="204">
        <v>304936</v>
      </c>
      <c r="I51" s="204">
        <v>299521</v>
      </c>
      <c r="J51" s="204">
        <f t="shared" si="14"/>
        <v>36620</v>
      </c>
      <c r="K51" s="211">
        <f t="shared" si="9"/>
        <v>100.9</v>
      </c>
      <c r="L51" s="211">
        <f t="shared" si="20"/>
        <v>99.6</v>
      </c>
      <c r="M51" s="211">
        <f t="shared" si="20"/>
        <v>99.5</v>
      </c>
      <c r="N51" s="212">
        <f t="shared" si="10"/>
        <v>97.2</v>
      </c>
    </row>
    <row r="52" spans="1:14" ht="30" customHeight="1" hidden="1">
      <c r="A52" s="199" t="s">
        <v>98</v>
      </c>
      <c r="B52" s="172" t="s">
        <v>96</v>
      </c>
      <c r="C52" s="213">
        <v>74211820</v>
      </c>
      <c r="D52" s="214">
        <v>67713518</v>
      </c>
      <c r="E52" s="214">
        <v>349301433</v>
      </c>
      <c r="F52" s="214">
        <v>348491006</v>
      </c>
      <c r="G52" s="214">
        <v>97533176</v>
      </c>
      <c r="H52" s="214">
        <v>89403</v>
      </c>
      <c r="I52" s="214">
        <v>82504</v>
      </c>
      <c r="J52" s="214">
        <f t="shared" si="14"/>
        <v>4707</v>
      </c>
      <c r="K52" s="215">
        <f t="shared" si="9"/>
        <v>99.4</v>
      </c>
      <c r="L52" s="215">
        <f t="shared" si="20"/>
        <v>95.3</v>
      </c>
      <c r="M52" s="215">
        <f t="shared" si="20"/>
        <v>101.4</v>
      </c>
      <c r="N52" s="216">
        <f t="shared" si="10"/>
        <v>98.9</v>
      </c>
    </row>
    <row r="53" spans="1:14" ht="30" customHeight="1" hidden="1">
      <c r="A53" s="202"/>
      <c r="B53" s="172" t="s">
        <v>97</v>
      </c>
      <c r="C53" s="213">
        <f aca="true" t="shared" si="23" ref="C53:I53">SUM(C51:C52)</f>
        <v>123811464</v>
      </c>
      <c r="D53" s="214">
        <f t="shared" si="23"/>
        <v>117039435</v>
      </c>
      <c r="E53" s="214">
        <f t="shared" si="23"/>
        <v>2165644122</v>
      </c>
      <c r="F53" s="214">
        <f t="shared" si="23"/>
        <v>2161821268</v>
      </c>
      <c r="G53" s="214">
        <f t="shared" si="23"/>
        <v>789180846</v>
      </c>
      <c r="H53" s="214">
        <f t="shared" si="23"/>
        <v>394339</v>
      </c>
      <c r="I53" s="214">
        <f t="shared" si="23"/>
        <v>382025</v>
      </c>
      <c r="J53" s="214">
        <f t="shared" si="14"/>
        <v>17491</v>
      </c>
      <c r="K53" s="215">
        <f t="shared" si="9"/>
        <v>100</v>
      </c>
      <c r="L53" s="215">
        <f t="shared" si="20"/>
        <v>98.9</v>
      </c>
      <c r="M53" s="215">
        <f t="shared" si="20"/>
        <v>99.7</v>
      </c>
      <c r="N53" s="216">
        <f t="shared" si="10"/>
        <v>97.6</v>
      </c>
    </row>
    <row r="54" spans="1:14" ht="30" customHeight="1" hidden="1">
      <c r="A54" s="199"/>
      <c r="B54" s="170" t="s">
        <v>94</v>
      </c>
      <c r="C54" s="203">
        <v>50019907</v>
      </c>
      <c r="D54" s="204">
        <v>49724647</v>
      </c>
      <c r="E54" s="204">
        <v>1805415342</v>
      </c>
      <c r="F54" s="204">
        <v>1802197476</v>
      </c>
      <c r="G54" s="204">
        <v>685200476</v>
      </c>
      <c r="H54" s="204">
        <v>307523</v>
      </c>
      <c r="I54" s="204">
        <v>301842</v>
      </c>
      <c r="J54" s="204">
        <f t="shared" si="14"/>
        <v>36094</v>
      </c>
      <c r="K54" s="211">
        <f t="shared" si="9"/>
        <v>100.8</v>
      </c>
      <c r="L54" s="211">
        <f t="shared" si="20"/>
        <v>99.4</v>
      </c>
      <c r="M54" s="211">
        <f t="shared" si="20"/>
        <v>99.1</v>
      </c>
      <c r="N54" s="212">
        <f t="shared" si="10"/>
        <v>100.8</v>
      </c>
    </row>
    <row r="55" spans="1:14" ht="30" customHeight="1" hidden="1">
      <c r="A55" s="199" t="s">
        <v>28</v>
      </c>
      <c r="B55" s="172" t="s">
        <v>96</v>
      </c>
      <c r="C55" s="213">
        <v>73616278</v>
      </c>
      <c r="D55" s="214">
        <v>67176322</v>
      </c>
      <c r="E55" s="214">
        <v>328925621</v>
      </c>
      <c r="F55" s="214">
        <v>328216733</v>
      </c>
      <c r="G55" s="214">
        <v>97000707</v>
      </c>
      <c r="H55" s="214">
        <v>88493</v>
      </c>
      <c r="I55" s="214">
        <v>81631</v>
      </c>
      <c r="J55" s="214">
        <f t="shared" si="14"/>
        <v>4468</v>
      </c>
      <c r="K55" s="215">
        <f t="shared" si="9"/>
        <v>99.2</v>
      </c>
      <c r="L55" s="215">
        <f t="shared" si="20"/>
        <v>94.2</v>
      </c>
      <c r="M55" s="215">
        <f t="shared" si="20"/>
        <v>99.5</v>
      </c>
      <c r="N55" s="216">
        <f t="shared" si="10"/>
        <v>98.9</v>
      </c>
    </row>
    <row r="56" spans="1:14" ht="30" customHeight="1" hidden="1">
      <c r="A56" s="202"/>
      <c r="B56" s="172" t="s">
        <v>97</v>
      </c>
      <c r="C56" s="213">
        <f aca="true" t="shared" si="24" ref="C56:I56">SUM(C54:C55)</f>
        <v>123636185</v>
      </c>
      <c r="D56" s="214">
        <f t="shared" si="24"/>
        <v>116900969</v>
      </c>
      <c r="E56" s="214">
        <f t="shared" si="24"/>
        <v>2134340963</v>
      </c>
      <c r="F56" s="214">
        <f t="shared" si="24"/>
        <v>2130414209</v>
      </c>
      <c r="G56" s="214">
        <f t="shared" si="24"/>
        <v>782201183</v>
      </c>
      <c r="H56" s="214">
        <f t="shared" si="24"/>
        <v>396016</v>
      </c>
      <c r="I56" s="214">
        <f t="shared" si="24"/>
        <v>383473</v>
      </c>
      <c r="J56" s="214">
        <f t="shared" si="14"/>
        <v>17263</v>
      </c>
      <c r="K56" s="215">
        <f t="shared" si="9"/>
        <v>99.9</v>
      </c>
      <c r="L56" s="215">
        <f t="shared" si="20"/>
        <v>98.5</v>
      </c>
      <c r="M56" s="215">
        <f t="shared" si="20"/>
        <v>99.1</v>
      </c>
      <c r="N56" s="216">
        <f t="shared" si="10"/>
        <v>100.4</v>
      </c>
    </row>
    <row r="57" spans="1:14" ht="30" customHeight="1" hidden="1">
      <c r="A57" s="199"/>
      <c r="B57" s="170" t="s">
        <v>94</v>
      </c>
      <c r="C57" s="203">
        <v>50426778</v>
      </c>
      <c r="D57" s="204">
        <v>50121877</v>
      </c>
      <c r="E57" s="204">
        <v>1803787154</v>
      </c>
      <c r="F57" s="204">
        <v>1800498660</v>
      </c>
      <c r="G57" s="204">
        <v>684883961</v>
      </c>
      <c r="H57" s="204">
        <v>309730</v>
      </c>
      <c r="I57" s="204">
        <v>303933</v>
      </c>
      <c r="J57" s="204">
        <f t="shared" si="14"/>
        <v>35770</v>
      </c>
      <c r="K57" s="211">
        <f t="shared" si="9"/>
        <v>100.8</v>
      </c>
      <c r="L57" s="211">
        <f aca="true" t="shared" si="25" ref="L57:M68">ROUND((F57/F54)*100,1)</f>
        <v>99.9</v>
      </c>
      <c r="M57" s="211">
        <f t="shared" si="25"/>
        <v>100</v>
      </c>
      <c r="N57" s="212">
        <f t="shared" si="10"/>
        <v>100.7</v>
      </c>
    </row>
    <row r="58" spans="1:14" ht="30" customHeight="1" hidden="1">
      <c r="A58" s="199" t="s">
        <v>30</v>
      </c>
      <c r="B58" s="172" t="s">
        <v>96</v>
      </c>
      <c r="C58" s="213">
        <v>73072240</v>
      </c>
      <c r="D58" s="214">
        <v>66637751</v>
      </c>
      <c r="E58" s="214">
        <v>314770229</v>
      </c>
      <c r="F58" s="214">
        <v>314141639</v>
      </c>
      <c r="G58" s="214">
        <v>96401815</v>
      </c>
      <c r="H58" s="214">
        <v>87584</v>
      </c>
      <c r="I58" s="214">
        <v>80735</v>
      </c>
      <c r="J58" s="214">
        <f t="shared" si="14"/>
        <v>4308</v>
      </c>
      <c r="K58" s="215">
        <f t="shared" si="9"/>
        <v>99.2</v>
      </c>
      <c r="L58" s="215">
        <f t="shared" si="25"/>
        <v>95.7</v>
      </c>
      <c r="M58" s="215">
        <f t="shared" si="25"/>
        <v>99.4</v>
      </c>
      <c r="N58" s="216">
        <f t="shared" si="10"/>
        <v>98.9</v>
      </c>
    </row>
    <row r="59" spans="1:14" ht="30" customHeight="1" hidden="1">
      <c r="A59" s="202"/>
      <c r="B59" s="172" t="s">
        <v>97</v>
      </c>
      <c r="C59" s="213">
        <f aca="true" t="shared" si="26" ref="C59:I59">SUM(C57:C58)</f>
        <v>123499018</v>
      </c>
      <c r="D59" s="214">
        <f>SUM(D57:D58)</f>
        <v>116759628</v>
      </c>
      <c r="E59" s="214">
        <f t="shared" si="26"/>
        <v>2118557383</v>
      </c>
      <c r="F59" s="214">
        <f t="shared" si="26"/>
        <v>2114640299</v>
      </c>
      <c r="G59" s="214">
        <f t="shared" si="26"/>
        <v>781285776</v>
      </c>
      <c r="H59" s="214">
        <f t="shared" si="26"/>
        <v>397314</v>
      </c>
      <c r="I59" s="214">
        <f t="shared" si="26"/>
        <v>384668</v>
      </c>
      <c r="J59" s="214">
        <f t="shared" si="14"/>
        <v>17154</v>
      </c>
      <c r="K59" s="215">
        <f t="shared" si="9"/>
        <v>99.9</v>
      </c>
      <c r="L59" s="215">
        <f t="shared" si="25"/>
        <v>99.3</v>
      </c>
      <c r="M59" s="215">
        <f t="shared" si="25"/>
        <v>99.9</v>
      </c>
      <c r="N59" s="216">
        <f t="shared" si="10"/>
        <v>100.3</v>
      </c>
    </row>
    <row r="60" spans="1:14" ht="30" customHeight="1">
      <c r="A60" s="199"/>
      <c r="B60" s="170" t="s">
        <v>94</v>
      </c>
      <c r="C60" s="203">
        <v>50778134</v>
      </c>
      <c r="D60" s="204">
        <v>50465622</v>
      </c>
      <c r="E60" s="204">
        <v>1804598618</v>
      </c>
      <c r="F60" s="204">
        <v>1801270331</v>
      </c>
      <c r="G60" s="204">
        <v>684335073</v>
      </c>
      <c r="H60" s="204">
        <v>312083</v>
      </c>
      <c r="I60" s="204">
        <v>306220</v>
      </c>
      <c r="J60" s="204">
        <f t="shared" si="14"/>
        <v>35539</v>
      </c>
      <c r="K60" s="211">
        <f t="shared" si="9"/>
        <v>100.7</v>
      </c>
      <c r="L60" s="211">
        <f t="shared" si="25"/>
        <v>100</v>
      </c>
      <c r="M60" s="211">
        <f t="shared" si="25"/>
        <v>99.9</v>
      </c>
      <c r="N60" s="212">
        <f t="shared" si="10"/>
        <v>100.8</v>
      </c>
    </row>
    <row r="61" spans="1:14" ht="30" customHeight="1">
      <c r="A61" s="199" t="s">
        <v>99</v>
      </c>
      <c r="B61" s="172" t="s">
        <v>96</v>
      </c>
      <c r="C61" s="213">
        <v>72690581</v>
      </c>
      <c r="D61" s="214">
        <v>66324507</v>
      </c>
      <c r="E61" s="214">
        <v>301746820</v>
      </c>
      <c r="F61" s="214">
        <v>301177333</v>
      </c>
      <c r="G61" s="214">
        <v>95503673</v>
      </c>
      <c r="H61" s="214">
        <v>86750</v>
      </c>
      <c r="I61" s="214">
        <v>79998</v>
      </c>
      <c r="J61" s="214">
        <f t="shared" si="14"/>
        <v>4151</v>
      </c>
      <c r="K61" s="215">
        <f t="shared" si="9"/>
        <v>99.5</v>
      </c>
      <c r="L61" s="215">
        <f t="shared" si="25"/>
        <v>95.9</v>
      </c>
      <c r="M61" s="215">
        <f t="shared" si="25"/>
        <v>99.1</v>
      </c>
      <c r="N61" s="216">
        <f t="shared" si="10"/>
        <v>99.1</v>
      </c>
    </row>
    <row r="62" spans="1:14" ht="30" customHeight="1">
      <c r="A62" s="202"/>
      <c r="B62" s="172" t="s">
        <v>97</v>
      </c>
      <c r="C62" s="213">
        <f aca="true" t="shared" si="27" ref="C62:I62">SUM(C60:C61)</f>
        <v>123468715</v>
      </c>
      <c r="D62" s="214">
        <f t="shared" si="27"/>
        <v>116790129</v>
      </c>
      <c r="E62" s="214">
        <f t="shared" si="27"/>
        <v>2106345438</v>
      </c>
      <c r="F62" s="214">
        <f t="shared" si="27"/>
        <v>2102447664</v>
      </c>
      <c r="G62" s="214">
        <f t="shared" si="27"/>
        <v>779838746</v>
      </c>
      <c r="H62" s="214">
        <f t="shared" si="27"/>
        <v>398833</v>
      </c>
      <c r="I62" s="214">
        <f t="shared" si="27"/>
        <v>386218</v>
      </c>
      <c r="J62" s="214">
        <f t="shared" si="14"/>
        <v>17060</v>
      </c>
      <c r="K62" s="215">
        <f t="shared" si="9"/>
        <v>100</v>
      </c>
      <c r="L62" s="215">
        <f t="shared" si="25"/>
        <v>99.4</v>
      </c>
      <c r="M62" s="215">
        <f t="shared" si="25"/>
        <v>99.8</v>
      </c>
      <c r="N62" s="216">
        <f t="shared" si="10"/>
        <v>100.4</v>
      </c>
    </row>
    <row r="63" spans="1:14" ht="30" customHeight="1">
      <c r="A63" s="199"/>
      <c r="B63" s="170" t="s">
        <v>94</v>
      </c>
      <c r="C63" s="203">
        <v>51251873</v>
      </c>
      <c r="D63" s="204">
        <v>50886527</v>
      </c>
      <c r="E63" s="204">
        <v>1808280879</v>
      </c>
      <c r="F63" s="204">
        <v>1804546112</v>
      </c>
      <c r="G63" s="204">
        <v>683663477</v>
      </c>
      <c r="H63" s="204">
        <v>314557</v>
      </c>
      <c r="I63" s="204">
        <v>308205</v>
      </c>
      <c r="J63" s="204">
        <f t="shared" si="14"/>
        <v>35282</v>
      </c>
      <c r="K63" s="211">
        <f t="shared" si="9"/>
        <v>100.8</v>
      </c>
      <c r="L63" s="211">
        <f t="shared" si="25"/>
        <v>100.2</v>
      </c>
      <c r="M63" s="211">
        <f t="shared" si="25"/>
        <v>99.9</v>
      </c>
      <c r="N63" s="212">
        <f t="shared" si="10"/>
        <v>100.6</v>
      </c>
    </row>
    <row r="64" spans="1:14" ht="30" customHeight="1">
      <c r="A64" s="199" t="s">
        <v>100</v>
      </c>
      <c r="B64" s="172" t="s">
        <v>96</v>
      </c>
      <c r="C64" s="213">
        <v>72268654</v>
      </c>
      <c r="D64" s="214">
        <v>65956399</v>
      </c>
      <c r="E64" s="214">
        <v>284462158</v>
      </c>
      <c r="F64" s="214">
        <v>283945972</v>
      </c>
      <c r="G64" s="214">
        <v>92493692</v>
      </c>
      <c r="H64" s="214">
        <v>85820</v>
      </c>
      <c r="I64" s="214">
        <v>79080</v>
      </c>
      <c r="J64" s="214">
        <f t="shared" si="14"/>
        <v>3936</v>
      </c>
      <c r="K64" s="215">
        <f>ROUND((D64/D61)*100,1)</f>
        <v>99.4</v>
      </c>
      <c r="L64" s="215">
        <f t="shared" si="25"/>
        <v>94.3</v>
      </c>
      <c r="M64" s="215">
        <f t="shared" si="25"/>
        <v>96.8</v>
      </c>
      <c r="N64" s="216">
        <f t="shared" si="10"/>
        <v>98.9</v>
      </c>
    </row>
    <row r="65" spans="1:14" ht="30" customHeight="1">
      <c r="A65" s="202"/>
      <c r="B65" s="172" t="s">
        <v>97</v>
      </c>
      <c r="C65" s="213">
        <f aca="true" t="shared" si="28" ref="C65:I65">SUM(C63:C64)</f>
        <v>123520527</v>
      </c>
      <c r="D65" s="214">
        <f t="shared" si="28"/>
        <v>116842926</v>
      </c>
      <c r="E65" s="214">
        <f t="shared" si="28"/>
        <v>2092743037</v>
      </c>
      <c r="F65" s="214">
        <f t="shared" si="28"/>
        <v>2088492084</v>
      </c>
      <c r="G65" s="214">
        <f t="shared" si="28"/>
        <v>776157169</v>
      </c>
      <c r="H65" s="214">
        <f t="shared" si="28"/>
        <v>400377</v>
      </c>
      <c r="I65" s="214">
        <f t="shared" si="28"/>
        <v>387285</v>
      </c>
      <c r="J65" s="214">
        <f t="shared" si="14"/>
        <v>16942</v>
      </c>
      <c r="K65" s="215">
        <f t="shared" si="9"/>
        <v>100</v>
      </c>
      <c r="L65" s="215">
        <f>ROUND((F65/F62)*100,1)</f>
        <v>99.3</v>
      </c>
      <c r="M65" s="215">
        <f t="shared" si="25"/>
        <v>99.5</v>
      </c>
      <c r="N65" s="216">
        <f t="shared" si="10"/>
        <v>100.3</v>
      </c>
    </row>
    <row r="66" spans="1:14" ht="30" customHeight="1">
      <c r="A66" s="199"/>
      <c r="B66" s="170" t="s">
        <v>94</v>
      </c>
      <c r="C66" s="203">
        <v>51632514</v>
      </c>
      <c r="D66" s="204">
        <v>51250551</v>
      </c>
      <c r="E66" s="204">
        <v>1812200900</v>
      </c>
      <c r="F66" s="204">
        <v>1808348046</v>
      </c>
      <c r="G66" s="204">
        <v>684686319</v>
      </c>
      <c r="H66" s="204">
        <v>317060</v>
      </c>
      <c r="I66" s="204">
        <v>310548</v>
      </c>
      <c r="J66" s="204">
        <f t="shared" si="14"/>
        <v>35098</v>
      </c>
      <c r="K66" s="211">
        <f t="shared" si="9"/>
        <v>100.7</v>
      </c>
      <c r="L66" s="211">
        <f t="shared" si="25"/>
        <v>100.2</v>
      </c>
      <c r="M66" s="211">
        <f t="shared" si="25"/>
        <v>100.1</v>
      </c>
      <c r="N66" s="212">
        <f t="shared" si="10"/>
        <v>100.8</v>
      </c>
    </row>
    <row r="67" spans="1:14" ht="30" customHeight="1">
      <c r="A67" s="199" t="s">
        <v>40</v>
      </c>
      <c r="B67" s="172" t="s">
        <v>96</v>
      </c>
      <c r="C67" s="213">
        <v>71823289</v>
      </c>
      <c r="D67" s="214">
        <v>65547068</v>
      </c>
      <c r="E67" s="214">
        <v>272125428</v>
      </c>
      <c r="F67" s="214">
        <v>271644290</v>
      </c>
      <c r="G67" s="214">
        <v>90188582</v>
      </c>
      <c r="H67" s="214">
        <v>84925</v>
      </c>
      <c r="I67" s="214">
        <v>78222</v>
      </c>
      <c r="J67" s="214">
        <f t="shared" si="14"/>
        <v>3789</v>
      </c>
      <c r="K67" s="215">
        <f t="shared" si="9"/>
        <v>99.4</v>
      </c>
      <c r="L67" s="215">
        <f t="shared" si="25"/>
        <v>95.7</v>
      </c>
      <c r="M67" s="215">
        <f t="shared" si="25"/>
        <v>97.5</v>
      </c>
      <c r="N67" s="216">
        <f t="shared" si="10"/>
        <v>98.9</v>
      </c>
    </row>
    <row r="68" spans="1:14" ht="30" customHeight="1">
      <c r="A68" s="202"/>
      <c r="B68" s="172" t="s">
        <v>97</v>
      </c>
      <c r="C68" s="213">
        <f aca="true" t="shared" si="29" ref="C68:H68">SUM(C66:C67)</f>
        <v>123455803</v>
      </c>
      <c r="D68" s="214">
        <f t="shared" si="29"/>
        <v>116797619</v>
      </c>
      <c r="E68" s="214">
        <f t="shared" si="29"/>
        <v>2084326328</v>
      </c>
      <c r="F68" s="214">
        <f t="shared" si="29"/>
        <v>2079992336</v>
      </c>
      <c r="G68" s="214">
        <f t="shared" si="29"/>
        <v>774874901</v>
      </c>
      <c r="H68" s="214">
        <f t="shared" si="29"/>
        <v>401985</v>
      </c>
      <c r="I68" s="214">
        <f>SUM(I66:I67)</f>
        <v>388770</v>
      </c>
      <c r="J68" s="214">
        <f t="shared" si="14"/>
        <v>16883</v>
      </c>
      <c r="K68" s="215">
        <f t="shared" si="9"/>
        <v>100</v>
      </c>
      <c r="L68" s="215">
        <f>ROUND((F68/F65)*100,1)</f>
        <v>99.6</v>
      </c>
      <c r="M68" s="215">
        <f t="shared" si="25"/>
        <v>99.8</v>
      </c>
      <c r="N68" s="216">
        <f t="shared" si="10"/>
        <v>100.4</v>
      </c>
    </row>
    <row r="69" spans="1:14" ht="30" customHeight="1">
      <c r="A69" s="199"/>
      <c r="B69" s="170" t="s">
        <v>94</v>
      </c>
      <c r="C69" s="203">
        <v>52022142</v>
      </c>
      <c r="D69" s="204">
        <v>51629367</v>
      </c>
      <c r="E69" s="204">
        <v>1817263636</v>
      </c>
      <c r="F69" s="204">
        <v>1813348738</v>
      </c>
      <c r="G69" s="204">
        <v>686673712</v>
      </c>
      <c r="H69" s="204">
        <v>318572</v>
      </c>
      <c r="I69" s="204">
        <v>311953</v>
      </c>
      <c r="J69" s="204">
        <f t="shared" si="14"/>
        <v>34933</v>
      </c>
      <c r="K69" s="211">
        <f t="shared" si="9"/>
        <v>100.7</v>
      </c>
      <c r="L69" s="211">
        <f>ROUND((F69/F66)*100,1)</f>
        <v>100.3</v>
      </c>
      <c r="M69" s="211">
        <f>ROUND((G69/G66)*100,1)</f>
        <v>100.3</v>
      </c>
      <c r="N69" s="212">
        <f t="shared" si="10"/>
        <v>100.5</v>
      </c>
    </row>
    <row r="70" spans="1:14" ht="30" customHeight="1">
      <c r="A70" s="199" t="s">
        <v>38</v>
      </c>
      <c r="B70" s="172" t="s">
        <v>96</v>
      </c>
      <c r="C70" s="213">
        <v>71440595</v>
      </c>
      <c r="D70" s="214">
        <v>65186600</v>
      </c>
      <c r="E70" s="214">
        <v>259754337</v>
      </c>
      <c r="F70" s="214">
        <v>259302244</v>
      </c>
      <c r="G70" s="214">
        <v>87507374</v>
      </c>
      <c r="H70" s="214">
        <v>83958</v>
      </c>
      <c r="I70" s="214">
        <v>77302</v>
      </c>
      <c r="J70" s="214">
        <f t="shared" si="14"/>
        <v>3636</v>
      </c>
      <c r="K70" s="215">
        <f t="shared" si="9"/>
        <v>99.5</v>
      </c>
      <c r="L70" s="215">
        <f>ROUND((F70/F67)*100,1)</f>
        <v>95.5</v>
      </c>
      <c r="M70" s="215">
        <f>ROUND((G70/G67)*100,1)</f>
        <v>97</v>
      </c>
      <c r="N70" s="216">
        <f t="shared" si="10"/>
        <v>98.8</v>
      </c>
    </row>
    <row r="71" spans="1:14" ht="30" customHeight="1">
      <c r="A71" s="202"/>
      <c r="B71" s="172" t="s">
        <v>97</v>
      </c>
      <c r="C71" s="213">
        <f aca="true" t="shared" si="30" ref="C71:H71">SUM(C69:C70)</f>
        <v>123462737</v>
      </c>
      <c r="D71" s="214">
        <f t="shared" si="30"/>
        <v>116815967</v>
      </c>
      <c r="E71" s="214">
        <f t="shared" si="30"/>
        <v>2077017973</v>
      </c>
      <c r="F71" s="214">
        <f t="shared" si="30"/>
        <v>2072650982</v>
      </c>
      <c r="G71" s="214">
        <f t="shared" si="30"/>
        <v>774181086</v>
      </c>
      <c r="H71" s="214">
        <f t="shared" si="30"/>
        <v>402530</v>
      </c>
      <c r="I71" s="214">
        <f>SUM(I69:I70)</f>
        <v>389255</v>
      </c>
      <c r="J71" s="214">
        <f t="shared" si="14"/>
        <v>16823</v>
      </c>
      <c r="K71" s="215">
        <f t="shared" si="9"/>
        <v>100</v>
      </c>
      <c r="L71" s="215">
        <f>ROUND((F71/F68)*100,1)</f>
        <v>99.6</v>
      </c>
      <c r="M71" s="215">
        <f>ROUND((G71/G68)*100,1)</f>
        <v>99.9</v>
      </c>
      <c r="N71" s="216">
        <f t="shared" si="10"/>
        <v>100.1</v>
      </c>
    </row>
    <row r="72" spans="1:14" ht="30" customHeight="1">
      <c r="A72" s="217"/>
      <c r="B72" s="218" t="s">
        <v>101</v>
      </c>
      <c r="C72" s="219">
        <v>26609000</v>
      </c>
      <c r="D72" s="220">
        <v>25181145</v>
      </c>
      <c r="E72" s="220">
        <v>110971240</v>
      </c>
      <c r="F72" s="220">
        <v>110772256</v>
      </c>
      <c r="G72" s="220">
        <v>36393348</v>
      </c>
      <c r="H72" s="220">
        <v>34893</v>
      </c>
      <c r="I72" s="220">
        <v>32807</v>
      </c>
      <c r="J72" s="220">
        <f t="shared" si="14"/>
        <v>4170</v>
      </c>
      <c r="K72" s="221">
        <f>ROUND((D72/25464900)*100,1)</f>
        <v>98.9</v>
      </c>
      <c r="L72" s="221">
        <f>ROUND((F72/125513796)*100,1)</f>
        <v>88.3</v>
      </c>
      <c r="M72" s="221">
        <f>ROUND((G72/40475936)*100,1)</f>
        <v>89.9</v>
      </c>
      <c r="N72" s="222">
        <f>ROUND((I72/33261)*100,1)</f>
        <v>98.6</v>
      </c>
    </row>
    <row r="73" spans="1:14" ht="30" customHeight="1">
      <c r="A73" s="217"/>
      <c r="B73" s="218" t="s">
        <v>102</v>
      </c>
      <c r="C73" s="219">
        <v>9642245</v>
      </c>
      <c r="D73" s="220">
        <v>9132917</v>
      </c>
      <c r="E73" s="220">
        <v>114808384</v>
      </c>
      <c r="F73" s="220">
        <v>114665687</v>
      </c>
      <c r="G73" s="220">
        <v>36965282</v>
      </c>
      <c r="H73" s="220">
        <v>30145</v>
      </c>
      <c r="I73" s="220">
        <v>28500</v>
      </c>
      <c r="J73" s="220">
        <f t="shared" si="14"/>
        <v>11907</v>
      </c>
      <c r="K73" s="223">
        <f>ROUND((D73/9234935)*100,1)</f>
        <v>98.9</v>
      </c>
      <c r="L73" s="223">
        <f>ROUND((F73/122191609)*100,1)</f>
        <v>93.8</v>
      </c>
      <c r="M73" s="221">
        <f>ROUND((G73/39029027)*100,1)</f>
        <v>94.7</v>
      </c>
      <c r="N73" s="222">
        <f>ROUND((I73/28855)*100,1)</f>
        <v>98.8</v>
      </c>
    </row>
    <row r="74" spans="1:14" ht="30" customHeight="1">
      <c r="A74" s="217"/>
      <c r="B74" s="218" t="s">
        <v>79</v>
      </c>
      <c r="C74" s="219">
        <v>52390488</v>
      </c>
      <c r="D74" s="220">
        <v>51977190</v>
      </c>
      <c r="E74" s="220">
        <v>1798235804</v>
      </c>
      <c r="F74" s="220">
        <v>1794158248</v>
      </c>
      <c r="G74" s="220">
        <v>677166332</v>
      </c>
      <c r="H74" s="220">
        <v>320769</v>
      </c>
      <c r="I74" s="220">
        <v>313921</v>
      </c>
      <c r="J74" s="220">
        <f t="shared" si="14"/>
        <v>34324</v>
      </c>
      <c r="K74" s="223">
        <f>ROUND((D74/51629367)*100,1)</f>
        <v>100.7</v>
      </c>
      <c r="L74" s="223">
        <f>ROUND((F74/1813348738)*100,1)</f>
        <v>98.9</v>
      </c>
      <c r="M74" s="221">
        <f>ROUND((G74/686673712)*100,1)</f>
        <v>98.6</v>
      </c>
      <c r="N74" s="222">
        <f>ROUND((I74/311953)*100,1)</f>
        <v>100.6</v>
      </c>
    </row>
    <row r="75" spans="1:14" ht="30" customHeight="1">
      <c r="A75" s="224" t="s">
        <v>43</v>
      </c>
      <c r="B75" s="218" t="s">
        <v>103</v>
      </c>
      <c r="C75" s="219">
        <v>22518</v>
      </c>
      <c r="D75" s="220">
        <v>19852</v>
      </c>
      <c r="E75" s="220">
        <v>1135</v>
      </c>
      <c r="F75" s="220">
        <v>973</v>
      </c>
      <c r="G75" s="220">
        <v>818</v>
      </c>
      <c r="H75" s="220">
        <v>65</v>
      </c>
      <c r="I75" s="220">
        <v>47</v>
      </c>
      <c r="J75" s="220">
        <f t="shared" si="14"/>
        <v>50</v>
      </c>
      <c r="K75" s="223">
        <f>ROUND((D75/19852)*100,1)</f>
        <v>100</v>
      </c>
      <c r="L75" s="223">
        <f>ROUND((F75/973)*100,1)</f>
        <v>100</v>
      </c>
      <c r="M75" s="221">
        <f>ROUND((G75/820)*100,1)</f>
        <v>99.8</v>
      </c>
      <c r="N75" s="222">
        <f>ROUND((I75/47)*100,1)</f>
        <v>100</v>
      </c>
    </row>
    <row r="76" spans="1:14" ht="30" customHeight="1">
      <c r="A76" s="224"/>
      <c r="B76" s="218" t="s">
        <v>104</v>
      </c>
      <c r="C76" s="219">
        <v>32711605</v>
      </c>
      <c r="D76" s="220">
        <v>28498493</v>
      </c>
      <c r="E76" s="220">
        <v>1399248</v>
      </c>
      <c r="F76" s="220">
        <v>1312342</v>
      </c>
      <c r="G76" s="220">
        <v>1167937</v>
      </c>
      <c r="H76" s="220">
        <v>13559</v>
      </c>
      <c r="I76" s="220">
        <v>11093</v>
      </c>
      <c r="J76" s="220">
        <f t="shared" si="14"/>
        <v>43</v>
      </c>
      <c r="K76" s="223">
        <f>ROUND((D76/28482998)*100,1)</f>
        <v>100.1</v>
      </c>
      <c r="L76" s="223">
        <f>ROUND((F76/1362701)*100,1)</f>
        <v>96.3</v>
      </c>
      <c r="M76" s="221">
        <f>ROUND((G76/1202934)*100,1)</f>
        <v>97.1</v>
      </c>
      <c r="N76" s="222">
        <f>ROUND((I76/11112)*100,1)</f>
        <v>99.8</v>
      </c>
    </row>
    <row r="77" spans="1:14" ht="30" customHeight="1">
      <c r="A77" s="225"/>
      <c r="B77" s="218" t="s">
        <v>105</v>
      </c>
      <c r="C77" s="219">
        <v>223813</v>
      </c>
      <c r="D77" s="220">
        <v>183133</v>
      </c>
      <c r="E77" s="220">
        <v>53051</v>
      </c>
      <c r="F77" s="220">
        <v>50870</v>
      </c>
      <c r="G77" s="220">
        <v>39483</v>
      </c>
      <c r="H77" s="220">
        <v>583</v>
      </c>
      <c r="I77" s="220">
        <v>442</v>
      </c>
      <c r="J77" s="220">
        <f t="shared" si="14"/>
        <v>237</v>
      </c>
      <c r="K77" s="223">
        <f>ROUND((D77/183103)*100,1)</f>
        <v>100</v>
      </c>
      <c r="L77" s="223">
        <f>ROUND((F77/52051)*100,1)</f>
        <v>97.7</v>
      </c>
      <c r="M77" s="221">
        <f>ROUND((G77/40424)*100,1)</f>
        <v>97.7</v>
      </c>
      <c r="N77" s="222">
        <f>ROUND((I77/442)*100,1)</f>
        <v>100</v>
      </c>
    </row>
    <row r="78" spans="1:14" ht="30" customHeight="1">
      <c r="A78" s="224"/>
      <c r="B78" s="218" t="s">
        <v>106</v>
      </c>
      <c r="C78" s="219">
        <v>1853777</v>
      </c>
      <c r="D78" s="220">
        <v>1808049</v>
      </c>
      <c r="E78" s="220">
        <v>9979584</v>
      </c>
      <c r="F78" s="220">
        <v>9969374</v>
      </c>
      <c r="G78" s="220">
        <v>6562255</v>
      </c>
      <c r="H78" s="220">
        <v>3873</v>
      </c>
      <c r="I78" s="220">
        <v>3596</v>
      </c>
      <c r="J78" s="220">
        <f t="shared" si="14"/>
        <v>5383</v>
      </c>
      <c r="K78" s="223">
        <f>ROUND((D78/1800812)*100,1)</f>
        <v>100.4</v>
      </c>
      <c r="L78" s="223">
        <f>ROUND((F78/10181114)*100,1)</f>
        <v>97.9</v>
      </c>
      <c r="M78" s="221">
        <f>ROUND((G78/6758233)*100,1)</f>
        <v>97.1</v>
      </c>
      <c r="N78" s="222">
        <f>ROUND((I78/3585)*100,1)</f>
        <v>100.3</v>
      </c>
    </row>
    <row r="79" spans="1:14" ht="30" customHeight="1" thickBot="1">
      <c r="A79" s="226"/>
      <c r="B79" s="227" t="s">
        <v>3</v>
      </c>
      <c r="C79" s="228">
        <f aca="true" t="shared" si="31" ref="C79:I79">SUM(C72:C78)</f>
        <v>123453446</v>
      </c>
      <c r="D79" s="229">
        <f t="shared" si="31"/>
        <v>116800779</v>
      </c>
      <c r="E79" s="229">
        <f t="shared" si="31"/>
        <v>2035448446</v>
      </c>
      <c r="F79" s="229">
        <f t="shared" si="31"/>
        <v>2030929750</v>
      </c>
      <c r="G79" s="229">
        <f t="shared" si="31"/>
        <v>758295455</v>
      </c>
      <c r="H79" s="229">
        <f t="shared" si="31"/>
        <v>403887</v>
      </c>
      <c r="I79" s="229">
        <f t="shared" si="31"/>
        <v>390406</v>
      </c>
      <c r="J79" s="229">
        <f>ROUND((E79*1000)/C79,0)</f>
        <v>16488</v>
      </c>
      <c r="K79" s="230">
        <f>ROUND((D79/D71)*100,1)</f>
        <v>100</v>
      </c>
      <c r="L79" s="230">
        <f>ROUND((F79/F71)*100,1)</f>
        <v>98</v>
      </c>
      <c r="M79" s="230">
        <f>ROUND((G79/G71)*100,1)</f>
        <v>97.9</v>
      </c>
      <c r="N79" s="231">
        <f>ROUND((I79/I71)*100,1)</f>
        <v>100.3</v>
      </c>
    </row>
    <row r="80" ht="30" customHeight="1">
      <c r="A80" s="166" t="s">
        <v>107</v>
      </c>
    </row>
    <row r="81" ht="30" customHeight="1">
      <c r="J81" s="166" t="s">
        <v>108</v>
      </c>
    </row>
    <row r="82" ht="30" customHeight="1"/>
    <row r="83" ht="30" customHeight="1"/>
  </sheetData>
  <sheetProtection/>
  <mergeCells count="24">
    <mergeCell ref="A24:A26"/>
    <mergeCell ref="A27:A29"/>
    <mergeCell ref="A30:A32"/>
    <mergeCell ref="A6:A8"/>
    <mergeCell ref="A9:A11"/>
    <mergeCell ref="A12:A14"/>
    <mergeCell ref="A15:A17"/>
    <mergeCell ref="A18:A20"/>
    <mergeCell ref="A21:A23"/>
    <mergeCell ref="K3:N3"/>
    <mergeCell ref="C4:C5"/>
    <mergeCell ref="D4:D5"/>
    <mergeCell ref="E4:E5"/>
    <mergeCell ref="F4:F5"/>
    <mergeCell ref="H4:H5"/>
    <mergeCell ref="I4:I5"/>
    <mergeCell ref="J4:J5"/>
    <mergeCell ref="M4:M5"/>
    <mergeCell ref="A3:A5"/>
    <mergeCell ref="B3:B5"/>
    <mergeCell ref="C3:D3"/>
    <mergeCell ref="E3:F3"/>
    <mergeCell ref="G3:G4"/>
    <mergeCell ref="H3:I3"/>
  </mergeCells>
  <printOptions horizontalCentered="1"/>
  <pageMargins left="0.5905511811023623" right="0.5905511811023623" top="0.3937007874015748" bottom="0.1968503937007874" header="0.5905511811023623" footer="0.1968503937007874"/>
  <pageSetup horizontalDpi="300" verticalDpi="300" orientation="portrait" paperSize="9" scale="99" r:id="rId3"/>
  <headerFooter alignWithMargins="0">
    <oddFooter>&amp;C&amp;14- &amp;P+43 -</oddFooter>
  </headerFooter>
  <colBreaks count="1" manualBreakCount="1">
    <brk id="7" max="7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showGridLines="0" view="pageBreakPreview" zoomScaleNormal="75" zoomScaleSheetLayoutView="100" zoomScalePageLayoutView="0" workbookViewId="0" topLeftCell="A1">
      <pane ySplit="42" topLeftCell="A43" activePane="bottomLeft" state="frozen"/>
      <selection pane="topLeft" activeCell="A1" sqref="A1"/>
      <selection pane="bottomLeft" activeCell="A2" sqref="A2"/>
    </sheetView>
  </sheetViews>
  <sheetFormatPr defaultColWidth="9.00390625" defaultRowHeight="17.25" customHeight="1"/>
  <cols>
    <col min="1" max="1" width="11.125" style="232" bestFit="1" customWidth="1"/>
    <col min="2" max="2" width="3.375" style="232" bestFit="1" customWidth="1"/>
    <col min="3" max="3" width="18.75390625" style="232" customWidth="1"/>
    <col min="4" max="5" width="12.375" style="232" bestFit="1" customWidth="1"/>
    <col min="6" max="8" width="13.625" style="232" bestFit="1" customWidth="1"/>
    <col min="9" max="10" width="11.25390625" style="232" bestFit="1" customWidth="1"/>
    <col min="11" max="11" width="14.875" style="232" customWidth="1"/>
    <col min="12" max="15" width="10.625" style="232" customWidth="1"/>
    <col min="16" max="16384" width="9.00390625" style="232" customWidth="1"/>
  </cols>
  <sheetData>
    <row r="1" ht="27" customHeight="1">
      <c r="A1" s="1"/>
    </row>
    <row r="2" ht="27" customHeight="1">
      <c r="A2" s="93" t="s">
        <v>109</v>
      </c>
    </row>
    <row r="3" spans="1:15" ht="27" customHeight="1" thickBot="1">
      <c r="A3" s="94"/>
      <c r="N3" s="233"/>
      <c r="O3" s="234" t="s">
        <v>110</v>
      </c>
    </row>
    <row r="4" spans="1:15" ht="19.5" customHeight="1">
      <c r="A4" s="847" t="s">
        <v>59</v>
      </c>
      <c r="B4" s="838" t="s">
        <v>14</v>
      </c>
      <c r="C4" s="838"/>
      <c r="D4" s="838" t="s">
        <v>111</v>
      </c>
      <c r="E4" s="838"/>
      <c r="F4" s="838" t="s">
        <v>112</v>
      </c>
      <c r="G4" s="838"/>
      <c r="H4" s="235" t="s">
        <v>74</v>
      </c>
      <c r="I4" s="838" t="s">
        <v>113</v>
      </c>
      <c r="J4" s="838"/>
      <c r="K4" s="236" t="s">
        <v>114</v>
      </c>
      <c r="L4" s="838" t="s">
        <v>66</v>
      </c>
      <c r="M4" s="838"/>
      <c r="N4" s="838"/>
      <c r="O4" s="839"/>
    </row>
    <row r="5" spans="1:15" ht="15.75" customHeight="1">
      <c r="A5" s="842"/>
      <c r="B5" s="840"/>
      <c r="C5" s="840"/>
      <c r="D5" s="840" t="s">
        <v>115</v>
      </c>
      <c r="E5" s="840" t="s">
        <v>77</v>
      </c>
      <c r="F5" s="840" t="s">
        <v>69</v>
      </c>
      <c r="G5" s="840" t="s">
        <v>77</v>
      </c>
      <c r="H5" s="238"/>
      <c r="I5" s="840" t="s">
        <v>116</v>
      </c>
      <c r="J5" s="840" t="s">
        <v>77</v>
      </c>
      <c r="K5" s="840" t="s">
        <v>71</v>
      </c>
      <c r="L5" s="239" t="s">
        <v>117</v>
      </c>
      <c r="M5" s="239" t="s">
        <v>73</v>
      </c>
      <c r="N5" s="841" t="s">
        <v>74</v>
      </c>
      <c r="O5" s="240" t="s">
        <v>118</v>
      </c>
    </row>
    <row r="6" spans="1:15" ht="15.75" customHeight="1">
      <c r="A6" s="842"/>
      <c r="B6" s="840"/>
      <c r="C6" s="840"/>
      <c r="D6" s="840"/>
      <c r="E6" s="840"/>
      <c r="F6" s="840"/>
      <c r="G6" s="840"/>
      <c r="H6" s="241" t="s">
        <v>76</v>
      </c>
      <c r="I6" s="840"/>
      <c r="J6" s="840"/>
      <c r="K6" s="840"/>
      <c r="L6" s="242" t="s">
        <v>77</v>
      </c>
      <c r="M6" s="242" t="s">
        <v>77</v>
      </c>
      <c r="N6" s="841"/>
      <c r="O6" s="243" t="s">
        <v>77</v>
      </c>
    </row>
    <row r="7" spans="1:15" ht="19.5" customHeight="1" hidden="1">
      <c r="A7" s="842" t="s">
        <v>119</v>
      </c>
      <c r="B7" s="843" t="s">
        <v>120</v>
      </c>
      <c r="C7" s="843"/>
      <c r="D7" s="245">
        <v>10737854</v>
      </c>
      <c r="E7" s="245">
        <v>10192464</v>
      </c>
      <c r="F7" s="245">
        <v>247661338</v>
      </c>
      <c r="G7" s="245">
        <v>246771008</v>
      </c>
      <c r="H7" s="245">
        <v>246771008</v>
      </c>
      <c r="I7" s="245">
        <v>113128</v>
      </c>
      <c r="J7" s="245">
        <v>102205</v>
      </c>
      <c r="K7" s="245">
        <f aca="true" t="shared" si="0" ref="K7:K18">ROUND((F7*1000)/D7,0)</f>
        <v>23064</v>
      </c>
      <c r="L7" s="246">
        <v>100.1</v>
      </c>
      <c r="M7" s="246">
        <v>104.5</v>
      </c>
      <c r="N7" s="246">
        <v>104.5</v>
      </c>
      <c r="O7" s="247">
        <v>99.3</v>
      </c>
    </row>
    <row r="8" spans="1:15" ht="19.5" customHeight="1" hidden="1">
      <c r="A8" s="842"/>
      <c r="B8" s="844" t="s">
        <v>121</v>
      </c>
      <c r="C8" s="844"/>
      <c r="D8" s="248">
        <v>13112272</v>
      </c>
      <c r="E8" s="248">
        <v>13084798</v>
      </c>
      <c r="F8" s="248">
        <v>672283944</v>
      </c>
      <c r="G8" s="248">
        <v>672191316</v>
      </c>
      <c r="H8" s="248">
        <v>669122258</v>
      </c>
      <c r="I8" s="248">
        <v>51915</v>
      </c>
      <c r="J8" s="248">
        <v>51023</v>
      </c>
      <c r="K8" s="248">
        <f t="shared" si="0"/>
        <v>51271</v>
      </c>
      <c r="L8" s="249">
        <v>102.3</v>
      </c>
      <c r="M8" s="249">
        <v>104.8</v>
      </c>
      <c r="N8" s="249">
        <v>104.8</v>
      </c>
      <c r="O8" s="250">
        <v>101.5</v>
      </c>
    </row>
    <row r="9" spans="1:15" ht="19.5" customHeight="1" hidden="1">
      <c r="A9" s="842"/>
      <c r="B9" s="845" t="s">
        <v>3</v>
      </c>
      <c r="C9" s="846"/>
      <c r="D9" s="251">
        <f>D7+D8</f>
        <v>23850126</v>
      </c>
      <c r="E9" s="251">
        <f aca="true" t="shared" si="1" ref="E9:J9">E7+E8</f>
        <v>23277262</v>
      </c>
      <c r="F9" s="251">
        <f t="shared" si="1"/>
        <v>919945282</v>
      </c>
      <c r="G9" s="251">
        <f t="shared" si="1"/>
        <v>918962324</v>
      </c>
      <c r="H9" s="251">
        <f t="shared" si="1"/>
        <v>915893266</v>
      </c>
      <c r="I9" s="251">
        <f t="shared" si="1"/>
        <v>165043</v>
      </c>
      <c r="J9" s="251">
        <f t="shared" si="1"/>
        <v>153228</v>
      </c>
      <c r="K9" s="251">
        <f t="shared" si="0"/>
        <v>38572</v>
      </c>
      <c r="L9" s="252">
        <v>101.4</v>
      </c>
      <c r="M9" s="252">
        <v>104.7</v>
      </c>
      <c r="N9" s="252">
        <v>104.7</v>
      </c>
      <c r="O9" s="253">
        <v>100</v>
      </c>
    </row>
    <row r="10" spans="1:15" ht="19.5" customHeight="1" hidden="1">
      <c r="A10" s="842" t="s">
        <v>122</v>
      </c>
      <c r="B10" s="848" t="s">
        <v>123</v>
      </c>
      <c r="C10" s="849"/>
      <c r="D10" s="245">
        <v>10724870</v>
      </c>
      <c r="E10" s="245">
        <v>10198500</v>
      </c>
      <c r="F10" s="245">
        <v>223394868</v>
      </c>
      <c r="G10" s="245">
        <v>222528278</v>
      </c>
      <c r="H10" s="245">
        <v>222528278</v>
      </c>
      <c r="I10" s="245">
        <v>111994</v>
      </c>
      <c r="J10" s="245">
        <v>101350</v>
      </c>
      <c r="K10" s="245">
        <f t="shared" si="0"/>
        <v>20830</v>
      </c>
      <c r="L10" s="246">
        <f aca="true" t="shared" si="2" ref="L10:L72">ROUND((E10/E7)*100,1)</f>
        <v>100.1</v>
      </c>
      <c r="M10" s="246">
        <f aca="true" t="shared" si="3" ref="M10:N25">ROUND((G10/G7)*100,1)</f>
        <v>90.2</v>
      </c>
      <c r="N10" s="246">
        <f t="shared" si="3"/>
        <v>90.2</v>
      </c>
      <c r="O10" s="247">
        <f aca="true" t="shared" si="4" ref="O10:O18">ROUND((J10/J7)*100,1)</f>
        <v>99.2</v>
      </c>
    </row>
    <row r="11" spans="1:15" ht="19.5" customHeight="1" hidden="1">
      <c r="A11" s="842"/>
      <c r="B11" s="844" t="s">
        <v>124</v>
      </c>
      <c r="C11" s="844"/>
      <c r="D11" s="248">
        <v>13335567</v>
      </c>
      <c r="E11" s="248">
        <v>13306686</v>
      </c>
      <c r="F11" s="248">
        <v>643016354</v>
      </c>
      <c r="G11" s="248">
        <v>642920644</v>
      </c>
      <c r="H11" s="248">
        <v>640039977</v>
      </c>
      <c r="I11" s="248">
        <v>52584</v>
      </c>
      <c r="J11" s="248">
        <v>51628</v>
      </c>
      <c r="K11" s="248">
        <f t="shared" si="0"/>
        <v>48218</v>
      </c>
      <c r="L11" s="249">
        <f t="shared" si="2"/>
        <v>101.7</v>
      </c>
      <c r="M11" s="249">
        <f t="shared" si="3"/>
        <v>95.6</v>
      </c>
      <c r="N11" s="249">
        <f t="shared" si="3"/>
        <v>95.7</v>
      </c>
      <c r="O11" s="250">
        <f t="shared" si="4"/>
        <v>101.2</v>
      </c>
    </row>
    <row r="12" spans="1:15" ht="19.5" customHeight="1" hidden="1">
      <c r="A12" s="842"/>
      <c r="B12" s="845" t="s">
        <v>3</v>
      </c>
      <c r="C12" s="846"/>
      <c r="D12" s="251">
        <f>D10+D11</f>
        <v>24060437</v>
      </c>
      <c r="E12" s="251">
        <f aca="true" t="shared" si="5" ref="E12:J12">E10+E11</f>
        <v>23505186</v>
      </c>
      <c r="F12" s="251">
        <f t="shared" si="5"/>
        <v>866411222</v>
      </c>
      <c r="G12" s="251">
        <f t="shared" si="5"/>
        <v>865448922</v>
      </c>
      <c r="H12" s="251">
        <f t="shared" si="5"/>
        <v>862568255</v>
      </c>
      <c r="I12" s="251">
        <f t="shared" si="5"/>
        <v>164578</v>
      </c>
      <c r="J12" s="251">
        <f t="shared" si="5"/>
        <v>152978</v>
      </c>
      <c r="K12" s="251">
        <f t="shared" si="0"/>
        <v>36010</v>
      </c>
      <c r="L12" s="252">
        <f t="shared" si="2"/>
        <v>101</v>
      </c>
      <c r="M12" s="252">
        <f t="shared" si="3"/>
        <v>94.2</v>
      </c>
      <c r="N12" s="252">
        <f t="shared" si="3"/>
        <v>94.2</v>
      </c>
      <c r="O12" s="253">
        <f t="shared" si="4"/>
        <v>99.8</v>
      </c>
    </row>
    <row r="13" spans="1:15" ht="19.5" customHeight="1" hidden="1">
      <c r="A13" s="842" t="s">
        <v>125</v>
      </c>
      <c r="B13" s="848" t="s">
        <v>123</v>
      </c>
      <c r="C13" s="849"/>
      <c r="D13" s="245">
        <v>10765067</v>
      </c>
      <c r="E13" s="245">
        <v>10255302</v>
      </c>
      <c r="F13" s="245">
        <v>234949483</v>
      </c>
      <c r="G13" s="245">
        <v>234107163</v>
      </c>
      <c r="H13" s="245">
        <v>234107163</v>
      </c>
      <c r="I13" s="245">
        <v>111177</v>
      </c>
      <c r="J13" s="245">
        <v>100844</v>
      </c>
      <c r="K13" s="245">
        <f t="shared" si="0"/>
        <v>21825</v>
      </c>
      <c r="L13" s="246">
        <f t="shared" si="2"/>
        <v>100.6</v>
      </c>
      <c r="M13" s="246">
        <f t="shared" si="3"/>
        <v>105.2</v>
      </c>
      <c r="N13" s="246">
        <f t="shared" si="3"/>
        <v>105.2</v>
      </c>
      <c r="O13" s="247">
        <f t="shared" si="4"/>
        <v>99.5</v>
      </c>
    </row>
    <row r="14" spans="1:15" ht="19.5" customHeight="1" hidden="1">
      <c r="A14" s="842"/>
      <c r="B14" s="844" t="s">
        <v>124</v>
      </c>
      <c r="C14" s="844"/>
      <c r="D14" s="248">
        <v>13537320</v>
      </c>
      <c r="E14" s="248">
        <v>13507777</v>
      </c>
      <c r="F14" s="248">
        <v>667797647</v>
      </c>
      <c r="G14" s="248">
        <v>667699275</v>
      </c>
      <c r="H14" s="248">
        <v>664591809</v>
      </c>
      <c r="I14" s="248">
        <v>53044</v>
      </c>
      <c r="J14" s="248">
        <v>52066</v>
      </c>
      <c r="K14" s="248">
        <f t="shared" si="0"/>
        <v>49330</v>
      </c>
      <c r="L14" s="249">
        <f t="shared" si="2"/>
        <v>101.5</v>
      </c>
      <c r="M14" s="249">
        <f t="shared" si="3"/>
        <v>103.9</v>
      </c>
      <c r="N14" s="249">
        <f t="shared" si="3"/>
        <v>103.8</v>
      </c>
      <c r="O14" s="250">
        <f t="shared" si="4"/>
        <v>100.8</v>
      </c>
    </row>
    <row r="15" spans="1:15" ht="19.5" customHeight="1" hidden="1">
      <c r="A15" s="842"/>
      <c r="B15" s="840" t="s">
        <v>3</v>
      </c>
      <c r="C15" s="840"/>
      <c r="D15" s="251">
        <f>D13+D14</f>
        <v>24302387</v>
      </c>
      <c r="E15" s="251">
        <f aca="true" t="shared" si="6" ref="E15:J15">E13+E14</f>
        <v>23763079</v>
      </c>
      <c r="F15" s="251">
        <f t="shared" si="6"/>
        <v>902747130</v>
      </c>
      <c r="G15" s="251">
        <f t="shared" si="6"/>
        <v>901806438</v>
      </c>
      <c r="H15" s="251">
        <f t="shared" si="6"/>
        <v>898698972</v>
      </c>
      <c r="I15" s="251">
        <f t="shared" si="6"/>
        <v>164221</v>
      </c>
      <c r="J15" s="251">
        <f t="shared" si="6"/>
        <v>152910</v>
      </c>
      <c r="K15" s="251">
        <f t="shared" si="0"/>
        <v>37146</v>
      </c>
      <c r="L15" s="252">
        <f t="shared" si="2"/>
        <v>101.1</v>
      </c>
      <c r="M15" s="252">
        <f t="shared" si="3"/>
        <v>104.2</v>
      </c>
      <c r="N15" s="252">
        <f t="shared" si="3"/>
        <v>104.2</v>
      </c>
      <c r="O15" s="253">
        <f t="shared" si="4"/>
        <v>100</v>
      </c>
    </row>
    <row r="16" spans="1:15" ht="24.75" customHeight="1" hidden="1">
      <c r="A16" s="850" t="s">
        <v>126</v>
      </c>
      <c r="B16" s="848" t="s">
        <v>123</v>
      </c>
      <c r="C16" s="849"/>
      <c r="D16" s="245">
        <v>10826553</v>
      </c>
      <c r="E16" s="245">
        <v>10329510</v>
      </c>
      <c r="F16" s="245">
        <v>246199239</v>
      </c>
      <c r="G16" s="245">
        <v>245375519</v>
      </c>
      <c r="H16" s="245">
        <v>245375519</v>
      </c>
      <c r="I16" s="245">
        <v>110812</v>
      </c>
      <c r="J16" s="245">
        <v>100721</v>
      </c>
      <c r="K16" s="245">
        <f t="shared" si="0"/>
        <v>22740</v>
      </c>
      <c r="L16" s="246">
        <f t="shared" si="2"/>
        <v>100.7</v>
      </c>
      <c r="M16" s="246">
        <f t="shared" si="3"/>
        <v>104.8</v>
      </c>
      <c r="N16" s="246">
        <f t="shared" si="3"/>
        <v>104.8</v>
      </c>
      <c r="O16" s="247">
        <f t="shared" si="4"/>
        <v>99.9</v>
      </c>
    </row>
    <row r="17" spans="1:15" ht="24.75" customHeight="1" hidden="1">
      <c r="A17" s="851"/>
      <c r="B17" s="844" t="s">
        <v>124</v>
      </c>
      <c r="C17" s="844"/>
      <c r="D17" s="248">
        <v>13728032</v>
      </c>
      <c r="E17" s="248">
        <v>13698491</v>
      </c>
      <c r="F17" s="248">
        <v>691857232</v>
      </c>
      <c r="G17" s="248">
        <v>691758778</v>
      </c>
      <c r="H17" s="248">
        <v>688723931</v>
      </c>
      <c r="I17" s="248">
        <v>53417</v>
      </c>
      <c r="J17" s="248">
        <v>52439</v>
      </c>
      <c r="K17" s="248">
        <f t="shared" si="0"/>
        <v>50397</v>
      </c>
      <c r="L17" s="249">
        <f t="shared" si="2"/>
        <v>101.4</v>
      </c>
      <c r="M17" s="249">
        <f t="shared" si="3"/>
        <v>103.6</v>
      </c>
      <c r="N17" s="249">
        <f t="shared" si="3"/>
        <v>103.6</v>
      </c>
      <c r="O17" s="250">
        <f t="shared" si="4"/>
        <v>100.7</v>
      </c>
    </row>
    <row r="18" spans="1:15" ht="24.75" customHeight="1" hidden="1">
      <c r="A18" s="852"/>
      <c r="B18" s="840" t="s">
        <v>3</v>
      </c>
      <c r="C18" s="840"/>
      <c r="D18" s="251">
        <f>D16+D17</f>
        <v>24554585</v>
      </c>
      <c r="E18" s="251">
        <f aca="true" t="shared" si="7" ref="E18:J18">E16+E17</f>
        <v>24028001</v>
      </c>
      <c r="F18" s="251">
        <f t="shared" si="7"/>
        <v>938056471</v>
      </c>
      <c r="G18" s="251">
        <f t="shared" si="7"/>
        <v>937134297</v>
      </c>
      <c r="H18" s="251">
        <f t="shared" si="7"/>
        <v>934099450</v>
      </c>
      <c r="I18" s="251">
        <f t="shared" si="7"/>
        <v>164229</v>
      </c>
      <c r="J18" s="251">
        <f t="shared" si="7"/>
        <v>153160</v>
      </c>
      <c r="K18" s="251">
        <f t="shared" si="0"/>
        <v>38203</v>
      </c>
      <c r="L18" s="252">
        <f t="shared" si="2"/>
        <v>101.1</v>
      </c>
      <c r="M18" s="252">
        <f t="shared" si="3"/>
        <v>103.9</v>
      </c>
      <c r="N18" s="252">
        <f t="shared" si="3"/>
        <v>103.9</v>
      </c>
      <c r="O18" s="253">
        <f t="shared" si="4"/>
        <v>100.2</v>
      </c>
    </row>
    <row r="19" spans="1:15" ht="24.75" customHeight="1" hidden="1">
      <c r="A19" s="850" t="s">
        <v>127</v>
      </c>
      <c r="B19" s="848" t="s">
        <v>123</v>
      </c>
      <c r="C19" s="849"/>
      <c r="D19" s="245">
        <v>10862204</v>
      </c>
      <c r="E19" s="245">
        <v>10375040</v>
      </c>
      <c r="F19" s="245">
        <v>221136351</v>
      </c>
      <c r="G19" s="245">
        <v>220324731</v>
      </c>
      <c r="H19" s="245">
        <v>220324731</v>
      </c>
      <c r="I19" s="245">
        <v>110202</v>
      </c>
      <c r="J19" s="245">
        <v>100220</v>
      </c>
      <c r="K19" s="245">
        <f>ROUND((F19*1000)/D19,0)</f>
        <v>20358</v>
      </c>
      <c r="L19" s="246">
        <f t="shared" si="2"/>
        <v>100.4</v>
      </c>
      <c r="M19" s="246">
        <f t="shared" si="3"/>
        <v>89.8</v>
      </c>
      <c r="N19" s="246">
        <f t="shared" si="3"/>
        <v>89.8</v>
      </c>
      <c r="O19" s="247">
        <f>ROUND((J19/J16)*100,1)</f>
        <v>99.5</v>
      </c>
    </row>
    <row r="20" spans="1:15" ht="24.75" customHeight="1" hidden="1">
      <c r="A20" s="851"/>
      <c r="B20" s="844" t="s">
        <v>124</v>
      </c>
      <c r="C20" s="844"/>
      <c r="D20" s="248">
        <v>13857778</v>
      </c>
      <c r="E20" s="248">
        <v>13825382</v>
      </c>
      <c r="F20" s="248">
        <v>640765186</v>
      </c>
      <c r="G20" s="248">
        <v>640662117</v>
      </c>
      <c r="H20" s="248">
        <v>637737393</v>
      </c>
      <c r="I20" s="248">
        <v>53711</v>
      </c>
      <c r="J20" s="248">
        <v>52636</v>
      </c>
      <c r="K20" s="248">
        <f>ROUND((F20*1000)/D20,0)</f>
        <v>46239</v>
      </c>
      <c r="L20" s="249">
        <f t="shared" si="2"/>
        <v>100.9</v>
      </c>
      <c r="M20" s="249">
        <f t="shared" si="3"/>
        <v>92.6</v>
      </c>
      <c r="N20" s="249">
        <f t="shared" si="3"/>
        <v>92.6</v>
      </c>
      <c r="O20" s="250">
        <f>ROUND((J20/J17)*100,1)</f>
        <v>100.4</v>
      </c>
    </row>
    <row r="21" spans="1:15" ht="24.75" customHeight="1" hidden="1">
      <c r="A21" s="852"/>
      <c r="B21" s="848" t="s">
        <v>3</v>
      </c>
      <c r="C21" s="846"/>
      <c r="D21" s="245">
        <f aca="true" t="shared" si="8" ref="D21:J21">D19+D20</f>
        <v>24719982</v>
      </c>
      <c r="E21" s="245">
        <f t="shared" si="8"/>
        <v>24200422</v>
      </c>
      <c r="F21" s="245">
        <f t="shared" si="8"/>
        <v>861901537</v>
      </c>
      <c r="G21" s="245">
        <f t="shared" si="8"/>
        <v>860986848</v>
      </c>
      <c r="H21" s="245">
        <f t="shared" si="8"/>
        <v>858062124</v>
      </c>
      <c r="I21" s="245">
        <f t="shared" si="8"/>
        <v>163913</v>
      </c>
      <c r="J21" s="245">
        <f t="shared" si="8"/>
        <v>152856</v>
      </c>
      <c r="K21" s="251">
        <f>ROUND((F21*1000)/D21,0)</f>
        <v>34867</v>
      </c>
      <c r="L21" s="252">
        <f t="shared" si="2"/>
        <v>100.7</v>
      </c>
      <c r="M21" s="252">
        <f t="shared" si="3"/>
        <v>91.9</v>
      </c>
      <c r="N21" s="252">
        <f t="shared" si="3"/>
        <v>91.9</v>
      </c>
      <c r="O21" s="253">
        <f>ROUND((J21/J18)*100,1)</f>
        <v>99.8</v>
      </c>
    </row>
    <row r="22" spans="1:15" ht="24.75" customHeight="1" hidden="1">
      <c r="A22" s="850" t="s">
        <v>128</v>
      </c>
      <c r="B22" s="848" t="s">
        <v>123</v>
      </c>
      <c r="C22" s="849"/>
      <c r="D22" s="245">
        <v>10945485</v>
      </c>
      <c r="E22" s="245">
        <v>10467098</v>
      </c>
      <c r="F22" s="245">
        <v>233564510</v>
      </c>
      <c r="G22" s="245">
        <v>232767609</v>
      </c>
      <c r="H22" s="245">
        <v>232767609</v>
      </c>
      <c r="I22" s="245">
        <v>110191</v>
      </c>
      <c r="J22" s="245">
        <v>100358</v>
      </c>
      <c r="K22" s="245">
        <f aca="true" t="shared" si="9" ref="K22:K27">ROUND((F22*1000)/D22,0)</f>
        <v>21339</v>
      </c>
      <c r="L22" s="246">
        <f t="shared" si="2"/>
        <v>100.9</v>
      </c>
      <c r="M22" s="246">
        <f t="shared" si="3"/>
        <v>105.6</v>
      </c>
      <c r="N22" s="246">
        <f t="shared" si="3"/>
        <v>105.6</v>
      </c>
      <c r="O22" s="247">
        <f aca="true" t="shared" si="10" ref="O22:O72">ROUND((J22/J19)*100,1)</f>
        <v>100.1</v>
      </c>
    </row>
    <row r="23" spans="1:15" ht="24.75" customHeight="1" hidden="1">
      <c r="A23" s="851"/>
      <c r="B23" s="844" t="s">
        <v>124</v>
      </c>
      <c r="C23" s="844"/>
      <c r="D23" s="248">
        <v>13997017</v>
      </c>
      <c r="E23" s="248">
        <v>13964678</v>
      </c>
      <c r="F23" s="248">
        <v>659357762</v>
      </c>
      <c r="G23" s="248">
        <v>659254505</v>
      </c>
      <c r="H23" s="248">
        <v>656329781</v>
      </c>
      <c r="I23" s="248">
        <v>54019</v>
      </c>
      <c r="J23" s="248">
        <v>52941</v>
      </c>
      <c r="K23" s="248">
        <f t="shared" si="9"/>
        <v>47107</v>
      </c>
      <c r="L23" s="249">
        <f t="shared" si="2"/>
        <v>101</v>
      </c>
      <c r="M23" s="249">
        <f t="shared" si="3"/>
        <v>102.9</v>
      </c>
      <c r="N23" s="249">
        <f t="shared" si="3"/>
        <v>102.9</v>
      </c>
      <c r="O23" s="250">
        <f t="shared" si="10"/>
        <v>100.6</v>
      </c>
    </row>
    <row r="24" spans="1:15" ht="24.75" customHeight="1" hidden="1">
      <c r="A24" s="852"/>
      <c r="B24" s="848" t="s">
        <v>3</v>
      </c>
      <c r="C24" s="846"/>
      <c r="D24" s="245">
        <f aca="true" t="shared" si="11" ref="D24:J24">D22+D23</f>
        <v>24942502</v>
      </c>
      <c r="E24" s="245">
        <f t="shared" si="11"/>
        <v>24431776</v>
      </c>
      <c r="F24" s="245">
        <f t="shared" si="11"/>
        <v>892922272</v>
      </c>
      <c r="G24" s="245">
        <f t="shared" si="11"/>
        <v>892022114</v>
      </c>
      <c r="H24" s="245">
        <f t="shared" si="11"/>
        <v>889097390</v>
      </c>
      <c r="I24" s="245">
        <f t="shared" si="11"/>
        <v>164210</v>
      </c>
      <c r="J24" s="245">
        <f t="shared" si="11"/>
        <v>153299</v>
      </c>
      <c r="K24" s="245">
        <f t="shared" si="9"/>
        <v>35799</v>
      </c>
      <c r="L24" s="246">
        <f t="shared" si="2"/>
        <v>101</v>
      </c>
      <c r="M24" s="246">
        <f t="shared" si="3"/>
        <v>103.6</v>
      </c>
      <c r="N24" s="246">
        <f t="shared" si="3"/>
        <v>103.6</v>
      </c>
      <c r="O24" s="247">
        <f t="shared" si="10"/>
        <v>100.3</v>
      </c>
    </row>
    <row r="25" spans="1:15" ht="24.75" customHeight="1" hidden="1">
      <c r="A25" s="850" t="s">
        <v>129</v>
      </c>
      <c r="B25" s="848" t="s">
        <v>123</v>
      </c>
      <c r="C25" s="853"/>
      <c r="D25" s="245">
        <v>11025859</v>
      </c>
      <c r="E25" s="245">
        <v>10559628</v>
      </c>
      <c r="F25" s="245">
        <v>245894335</v>
      </c>
      <c r="G25" s="245">
        <v>245116218</v>
      </c>
      <c r="H25" s="245">
        <v>245116218</v>
      </c>
      <c r="I25" s="245">
        <v>110134</v>
      </c>
      <c r="J25" s="245">
        <v>100514</v>
      </c>
      <c r="K25" s="245">
        <f t="shared" si="9"/>
        <v>22302</v>
      </c>
      <c r="L25" s="246">
        <f t="shared" si="2"/>
        <v>100.9</v>
      </c>
      <c r="M25" s="246">
        <f t="shared" si="3"/>
        <v>105.3</v>
      </c>
      <c r="N25" s="246">
        <f t="shared" si="3"/>
        <v>105.3</v>
      </c>
      <c r="O25" s="247">
        <f t="shared" si="10"/>
        <v>100.2</v>
      </c>
    </row>
    <row r="26" spans="1:15" ht="24.75" customHeight="1" hidden="1">
      <c r="A26" s="851"/>
      <c r="B26" s="854" t="s">
        <v>124</v>
      </c>
      <c r="C26" s="855"/>
      <c r="D26" s="248">
        <v>14127800</v>
      </c>
      <c r="E26" s="248">
        <v>14095710</v>
      </c>
      <c r="F26" s="248">
        <v>675538353</v>
      </c>
      <c r="G26" s="248">
        <v>675435423</v>
      </c>
      <c r="H26" s="248">
        <v>672496590</v>
      </c>
      <c r="I26" s="248">
        <v>54470</v>
      </c>
      <c r="J26" s="248">
        <v>53395</v>
      </c>
      <c r="K26" s="248">
        <f t="shared" si="9"/>
        <v>47816</v>
      </c>
      <c r="L26" s="249">
        <f t="shared" si="2"/>
        <v>100.9</v>
      </c>
      <c r="M26" s="249">
        <f aca="true" t="shared" si="12" ref="M26:N41">ROUND((G26/G23)*100,1)</f>
        <v>102.5</v>
      </c>
      <c r="N26" s="249">
        <f t="shared" si="12"/>
        <v>102.5</v>
      </c>
      <c r="O26" s="250">
        <f t="shared" si="10"/>
        <v>100.9</v>
      </c>
    </row>
    <row r="27" spans="1:15" ht="24.75" customHeight="1" hidden="1">
      <c r="A27" s="852"/>
      <c r="B27" s="848" t="s">
        <v>3</v>
      </c>
      <c r="C27" s="846"/>
      <c r="D27" s="245">
        <f aca="true" t="shared" si="13" ref="D27:J27">D25+D26</f>
        <v>25153659</v>
      </c>
      <c r="E27" s="245">
        <f t="shared" si="13"/>
        <v>24655338</v>
      </c>
      <c r="F27" s="245">
        <f t="shared" si="13"/>
        <v>921432688</v>
      </c>
      <c r="G27" s="245">
        <f t="shared" si="13"/>
        <v>920551641</v>
      </c>
      <c r="H27" s="245">
        <f t="shared" si="13"/>
        <v>917612808</v>
      </c>
      <c r="I27" s="245">
        <f t="shared" si="13"/>
        <v>164604</v>
      </c>
      <c r="J27" s="245">
        <f t="shared" si="13"/>
        <v>153909</v>
      </c>
      <c r="K27" s="245">
        <f t="shared" si="9"/>
        <v>36632</v>
      </c>
      <c r="L27" s="246">
        <f t="shared" si="2"/>
        <v>100.9</v>
      </c>
      <c r="M27" s="246">
        <f t="shared" si="12"/>
        <v>103.2</v>
      </c>
      <c r="N27" s="246">
        <f t="shared" si="12"/>
        <v>103.2</v>
      </c>
      <c r="O27" s="247">
        <f t="shared" si="10"/>
        <v>100.4</v>
      </c>
    </row>
    <row r="28" spans="1:15" ht="24.75" customHeight="1" hidden="1">
      <c r="A28" s="850" t="s">
        <v>130</v>
      </c>
      <c r="B28" s="848" t="s">
        <v>123</v>
      </c>
      <c r="C28" s="853"/>
      <c r="D28" s="245">
        <v>11570304</v>
      </c>
      <c r="E28" s="245">
        <v>11085508</v>
      </c>
      <c r="F28" s="245">
        <v>246298426</v>
      </c>
      <c r="G28" s="245">
        <v>245512730</v>
      </c>
      <c r="H28" s="245">
        <v>245512300</v>
      </c>
      <c r="I28" s="245">
        <v>114017</v>
      </c>
      <c r="J28" s="245">
        <v>104185</v>
      </c>
      <c r="K28" s="245">
        <v>22302</v>
      </c>
      <c r="L28" s="246">
        <f t="shared" si="2"/>
        <v>105</v>
      </c>
      <c r="M28" s="246">
        <f t="shared" si="12"/>
        <v>100.2</v>
      </c>
      <c r="N28" s="246">
        <f t="shared" si="12"/>
        <v>100.2</v>
      </c>
      <c r="O28" s="247">
        <f t="shared" si="10"/>
        <v>103.7</v>
      </c>
    </row>
    <row r="29" spans="1:15" ht="24.75" customHeight="1" hidden="1">
      <c r="A29" s="851"/>
      <c r="B29" s="854" t="s">
        <v>124</v>
      </c>
      <c r="C29" s="855"/>
      <c r="D29" s="248">
        <v>15076650</v>
      </c>
      <c r="E29" s="248">
        <v>15039711</v>
      </c>
      <c r="F29" s="254">
        <v>646547798</v>
      </c>
      <c r="G29" s="254">
        <v>646433099</v>
      </c>
      <c r="H29" s="254">
        <v>643861576</v>
      </c>
      <c r="I29" s="254">
        <v>56980</v>
      </c>
      <c r="J29" s="254">
        <v>55744</v>
      </c>
      <c r="K29" s="248">
        <v>47816</v>
      </c>
      <c r="L29" s="249">
        <f t="shared" si="2"/>
        <v>106.7</v>
      </c>
      <c r="M29" s="249">
        <f t="shared" si="12"/>
        <v>95.7</v>
      </c>
      <c r="N29" s="249">
        <f t="shared" si="12"/>
        <v>95.7</v>
      </c>
      <c r="O29" s="250">
        <f t="shared" si="10"/>
        <v>104.4</v>
      </c>
    </row>
    <row r="30" spans="1:15" ht="24.75" customHeight="1" hidden="1">
      <c r="A30" s="852"/>
      <c r="B30" s="848" t="s">
        <v>3</v>
      </c>
      <c r="C30" s="846"/>
      <c r="D30" s="245">
        <f aca="true" t="shared" si="14" ref="D30:J30">D28+D29</f>
        <v>26646954</v>
      </c>
      <c r="E30" s="245">
        <f t="shared" si="14"/>
        <v>26125219</v>
      </c>
      <c r="F30" s="245">
        <f t="shared" si="14"/>
        <v>892846224</v>
      </c>
      <c r="G30" s="245">
        <f t="shared" si="14"/>
        <v>891945829</v>
      </c>
      <c r="H30" s="245">
        <f t="shared" si="14"/>
        <v>889373876</v>
      </c>
      <c r="I30" s="245">
        <f t="shared" si="14"/>
        <v>170997</v>
      </c>
      <c r="J30" s="245">
        <f t="shared" si="14"/>
        <v>159929</v>
      </c>
      <c r="K30" s="245">
        <f aca="true" t="shared" si="15" ref="K30:K42">ROUND((F30*1000)/D30,0)</f>
        <v>33507</v>
      </c>
      <c r="L30" s="246">
        <f t="shared" si="2"/>
        <v>106</v>
      </c>
      <c r="M30" s="246">
        <f>ROUND((G30/G27)*100,1)</f>
        <v>96.9</v>
      </c>
      <c r="N30" s="246">
        <f>ROUND((H30/H27)*100,1)</f>
        <v>96.9</v>
      </c>
      <c r="O30" s="247">
        <f>ROUND((J30/J27)*100,1)</f>
        <v>103.9</v>
      </c>
    </row>
    <row r="31" spans="1:15" ht="24.75" customHeight="1" hidden="1">
      <c r="A31" s="850" t="s">
        <v>131</v>
      </c>
      <c r="B31" s="848" t="s">
        <v>123</v>
      </c>
      <c r="C31" s="853"/>
      <c r="D31" s="245">
        <v>11644353</v>
      </c>
      <c r="E31" s="245">
        <v>11172127</v>
      </c>
      <c r="F31" s="255">
        <v>258548863</v>
      </c>
      <c r="G31" s="255">
        <v>257783622</v>
      </c>
      <c r="H31" s="255">
        <v>257783192</v>
      </c>
      <c r="I31" s="255">
        <v>113866</v>
      </c>
      <c r="J31" s="255">
        <v>104269</v>
      </c>
      <c r="K31" s="245">
        <f t="shared" si="15"/>
        <v>22204</v>
      </c>
      <c r="L31" s="246">
        <f t="shared" si="2"/>
        <v>100.8</v>
      </c>
      <c r="M31" s="246">
        <f>ROUND((G31/G28)*100,1)</f>
        <v>105</v>
      </c>
      <c r="N31" s="246">
        <f t="shared" si="12"/>
        <v>105</v>
      </c>
      <c r="O31" s="247">
        <f t="shared" si="10"/>
        <v>100.1</v>
      </c>
    </row>
    <row r="32" spans="1:15" ht="24.75" customHeight="1" hidden="1">
      <c r="A32" s="851"/>
      <c r="B32" s="854" t="s">
        <v>124</v>
      </c>
      <c r="C32" s="855"/>
      <c r="D32" s="248">
        <v>15201541</v>
      </c>
      <c r="E32" s="248">
        <v>15165353</v>
      </c>
      <c r="F32" s="254">
        <v>662904968</v>
      </c>
      <c r="G32" s="254">
        <v>662791907</v>
      </c>
      <c r="H32" s="254">
        <v>660356657</v>
      </c>
      <c r="I32" s="254">
        <v>57154</v>
      </c>
      <c r="J32" s="254">
        <v>55931</v>
      </c>
      <c r="K32" s="254">
        <f t="shared" si="15"/>
        <v>43608</v>
      </c>
      <c r="L32" s="256">
        <f t="shared" si="2"/>
        <v>100.8</v>
      </c>
      <c r="M32" s="256">
        <f t="shared" si="12"/>
        <v>102.5</v>
      </c>
      <c r="N32" s="256">
        <f t="shared" si="12"/>
        <v>102.6</v>
      </c>
      <c r="O32" s="257">
        <f t="shared" si="10"/>
        <v>100.3</v>
      </c>
    </row>
    <row r="33" spans="1:15" ht="24.75" customHeight="1" hidden="1">
      <c r="A33" s="852"/>
      <c r="B33" s="848" t="s">
        <v>3</v>
      </c>
      <c r="C33" s="846"/>
      <c r="D33" s="245">
        <f aca="true" t="shared" si="16" ref="D33:J33">D31+D32</f>
        <v>26845894</v>
      </c>
      <c r="E33" s="245">
        <f t="shared" si="16"/>
        <v>26337480</v>
      </c>
      <c r="F33" s="255">
        <f t="shared" si="16"/>
        <v>921453831</v>
      </c>
      <c r="G33" s="255">
        <f t="shared" si="16"/>
        <v>920575529</v>
      </c>
      <c r="H33" s="255">
        <f t="shared" si="16"/>
        <v>918139849</v>
      </c>
      <c r="I33" s="255">
        <f t="shared" si="16"/>
        <v>171020</v>
      </c>
      <c r="J33" s="255">
        <f t="shared" si="16"/>
        <v>160200</v>
      </c>
      <c r="K33" s="255">
        <f t="shared" si="15"/>
        <v>34324</v>
      </c>
      <c r="L33" s="258">
        <f t="shared" si="2"/>
        <v>100.8</v>
      </c>
      <c r="M33" s="258">
        <f t="shared" si="12"/>
        <v>103.2</v>
      </c>
      <c r="N33" s="258">
        <f t="shared" si="12"/>
        <v>103.2</v>
      </c>
      <c r="O33" s="259">
        <f t="shared" si="10"/>
        <v>100.2</v>
      </c>
    </row>
    <row r="34" spans="1:15" ht="24.75" customHeight="1" hidden="1">
      <c r="A34" s="850" t="s">
        <v>132</v>
      </c>
      <c r="B34" s="848" t="s">
        <v>123</v>
      </c>
      <c r="C34" s="853"/>
      <c r="D34" s="255">
        <v>11764921</v>
      </c>
      <c r="E34" s="255">
        <v>11301499</v>
      </c>
      <c r="F34" s="255">
        <v>272796901</v>
      </c>
      <c r="G34" s="255">
        <v>272045463</v>
      </c>
      <c r="H34" s="255">
        <v>272044578</v>
      </c>
      <c r="I34" s="255">
        <v>114089</v>
      </c>
      <c r="J34" s="255">
        <v>104693</v>
      </c>
      <c r="K34" s="255">
        <f t="shared" si="15"/>
        <v>23187</v>
      </c>
      <c r="L34" s="258">
        <f t="shared" si="2"/>
        <v>101.2</v>
      </c>
      <c r="M34" s="258">
        <f t="shared" si="12"/>
        <v>105.5</v>
      </c>
      <c r="N34" s="258">
        <f t="shared" si="12"/>
        <v>105.5</v>
      </c>
      <c r="O34" s="259">
        <f t="shared" si="10"/>
        <v>100.4</v>
      </c>
    </row>
    <row r="35" spans="1:15" ht="24.75" customHeight="1" hidden="1">
      <c r="A35" s="851"/>
      <c r="B35" s="854" t="s">
        <v>124</v>
      </c>
      <c r="C35" s="855"/>
      <c r="D35" s="254">
        <v>15384231</v>
      </c>
      <c r="E35" s="254">
        <v>15348141</v>
      </c>
      <c r="F35" s="254">
        <v>679849351</v>
      </c>
      <c r="G35" s="254">
        <v>679735886</v>
      </c>
      <c r="H35" s="254">
        <v>676654707</v>
      </c>
      <c r="I35" s="254">
        <v>57533</v>
      </c>
      <c r="J35" s="254">
        <v>56306</v>
      </c>
      <c r="K35" s="254">
        <f t="shared" si="15"/>
        <v>44191</v>
      </c>
      <c r="L35" s="256">
        <f t="shared" si="2"/>
        <v>101.2</v>
      </c>
      <c r="M35" s="256">
        <f t="shared" si="12"/>
        <v>102.6</v>
      </c>
      <c r="N35" s="256">
        <f t="shared" si="12"/>
        <v>102.5</v>
      </c>
      <c r="O35" s="257">
        <f t="shared" si="10"/>
        <v>100.7</v>
      </c>
    </row>
    <row r="36" spans="1:15" ht="24.75" customHeight="1" hidden="1">
      <c r="A36" s="852"/>
      <c r="B36" s="848" t="s">
        <v>3</v>
      </c>
      <c r="C36" s="846"/>
      <c r="D36" s="255">
        <f aca="true" t="shared" si="17" ref="D36:J36">D34+D35</f>
        <v>27149152</v>
      </c>
      <c r="E36" s="255">
        <f t="shared" si="17"/>
        <v>26649640</v>
      </c>
      <c r="F36" s="255">
        <f t="shared" si="17"/>
        <v>952646252</v>
      </c>
      <c r="G36" s="255">
        <f t="shared" si="17"/>
        <v>951781349</v>
      </c>
      <c r="H36" s="255">
        <f t="shared" si="17"/>
        <v>948699285</v>
      </c>
      <c r="I36" s="255">
        <f t="shared" si="17"/>
        <v>171622</v>
      </c>
      <c r="J36" s="255">
        <f t="shared" si="17"/>
        <v>160999</v>
      </c>
      <c r="K36" s="255">
        <f t="shared" si="15"/>
        <v>35089</v>
      </c>
      <c r="L36" s="258">
        <f t="shared" si="2"/>
        <v>101.2</v>
      </c>
      <c r="M36" s="258">
        <f t="shared" si="12"/>
        <v>103.4</v>
      </c>
      <c r="N36" s="258">
        <f t="shared" si="12"/>
        <v>103.3</v>
      </c>
      <c r="O36" s="259">
        <f t="shared" si="10"/>
        <v>100.5</v>
      </c>
    </row>
    <row r="37" spans="1:15" ht="24.75" customHeight="1" hidden="1">
      <c r="A37" s="850" t="s">
        <v>133</v>
      </c>
      <c r="B37" s="848" t="s">
        <v>123</v>
      </c>
      <c r="C37" s="853"/>
      <c r="D37" s="255">
        <v>11856230</v>
      </c>
      <c r="E37" s="255">
        <v>11402264</v>
      </c>
      <c r="F37" s="255">
        <v>262065386</v>
      </c>
      <c r="G37" s="255">
        <v>261326710</v>
      </c>
      <c r="H37" s="255">
        <v>261325525</v>
      </c>
      <c r="I37" s="255">
        <v>114065</v>
      </c>
      <c r="J37" s="255">
        <v>104822</v>
      </c>
      <c r="K37" s="255">
        <f t="shared" si="15"/>
        <v>22104</v>
      </c>
      <c r="L37" s="258">
        <f t="shared" si="2"/>
        <v>100.9</v>
      </c>
      <c r="M37" s="258">
        <f t="shared" si="12"/>
        <v>96.1</v>
      </c>
      <c r="N37" s="258">
        <f t="shared" si="12"/>
        <v>96.1</v>
      </c>
      <c r="O37" s="259">
        <f t="shared" si="10"/>
        <v>100.1</v>
      </c>
    </row>
    <row r="38" spans="1:15" ht="24.75" customHeight="1" hidden="1">
      <c r="A38" s="851"/>
      <c r="B38" s="854" t="s">
        <v>124</v>
      </c>
      <c r="C38" s="855"/>
      <c r="D38" s="254">
        <v>15474486</v>
      </c>
      <c r="E38" s="254">
        <v>15437316</v>
      </c>
      <c r="F38" s="254">
        <v>664507845</v>
      </c>
      <c r="G38" s="254">
        <v>664391591</v>
      </c>
      <c r="H38" s="254">
        <v>661569436</v>
      </c>
      <c r="I38" s="254">
        <v>57582</v>
      </c>
      <c r="J38" s="254">
        <v>56308</v>
      </c>
      <c r="K38" s="254">
        <f t="shared" si="15"/>
        <v>42942</v>
      </c>
      <c r="L38" s="256">
        <f t="shared" si="2"/>
        <v>100.6</v>
      </c>
      <c r="M38" s="256">
        <f t="shared" si="12"/>
        <v>97.7</v>
      </c>
      <c r="N38" s="256">
        <f t="shared" si="12"/>
        <v>97.8</v>
      </c>
      <c r="O38" s="257">
        <f t="shared" si="10"/>
        <v>100</v>
      </c>
    </row>
    <row r="39" spans="1:15" ht="24.75" customHeight="1" hidden="1">
      <c r="A39" s="852"/>
      <c r="B39" s="848" t="s">
        <v>3</v>
      </c>
      <c r="C39" s="846"/>
      <c r="D39" s="255">
        <f aca="true" t="shared" si="18" ref="D39:J39">D37+D38</f>
        <v>27330716</v>
      </c>
      <c r="E39" s="255">
        <f t="shared" si="18"/>
        <v>26839580</v>
      </c>
      <c r="F39" s="255">
        <f t="shared" si="18"/>
        <v>926573231</v>
      </c>
      <c r="G39" s="255">
        <f t="shared" si="18"/>
        <v>925718301</v>
      </c>
      <c r="H39" s="255">
        <f t="shared" si="18"/>
        <v>922894961</v>
      </c>
      <c r="I39" s="255">
        <f t="shared" si="18"/>
        <v>171647</v>
      </c>
      <c r="J39" s="255">
        <f t="shared" si="18"/>
        <v>161130</v>
      </c>
      <c r="K39" s="255">
        <f t="shared" si="15"/>
        <v>33902</v>
      </c>
      <c r="L39" s="258">
        <f t="shared" si="2"/>
        <v>100.7</v>
      </c>
      <c r="M39" s="258">
        <f t="shared" si="12"/>
        <v>97.3</v>
      </c>
      <c r="N39" s="258">
        <f t="shared" si="12"/>
        <v>97.3</v>
      </c>
      <c r="O39" s="259">
        <f t="shared" si="10"/>
        <v>100.1</v>
      </c>
    </row>
    <row r="40" spans="1:15" ht="24.75" customHeight="1" hidden="1">
      <c r="A40" s="850" t="s">
        <v>134</v>
      </c>
      <c r="B40" s="848" t="s">
        <v>123</v>
      </c>
      <c r="C40" s="853"/>
      <c r="D40" s="255">
        <v>11941890</v>
      </c>
      <c r="E40" s="255">
        <v>11499743</v>
      </c>
      <c r="F40" s="255">
        <v>273799588</v>
      </c>
      <c r="G40" s="255">
        <v>273078603</v>
      </c>
      <c r="H40" s="255">
        <v>273077417</v>
      </c>
      <c r="I40" s="255">
        <v>114168</v>
      </c>
      <c r="J40" s="255">
        <v>105165</v>
      </c>
      <c r="K40" s="255">
        <f t="shared" si="15"/>
        <v>22928</v>
      </c>
      <c r="L40" s="258">
        <f t="shared" si="2"/>
        <v>100.9</v>
      </c>
      <c r="M40" s="258">
        <f t="shared" si="12"/>
        <v>104.5</v>
      </c>
      <c r="N40" s="258">
        <f t="shared" si="12"/>
        <v>104.5</v>
      </c>
      <c r="O40" s="259">
        <f t="shared" si="10"/>
        <v>100.3</v>
      </c>
    </row>
    <row r="41" spans="1:15" ht="24.75" customHeight="1" hidden="1">
      <c r="A41" s="851"/>
      <c r="B41" s="854" t="s">
        <v>124</v>
      </c>
      <c r="C41" s="855"/>
      <c r="D41" s="254">
        <v>15530312</v>
      </c>
      <c r="E41" s="254">
        <v>15493478</v>
      </c>
      <c r="F41" s="254">
        <v>673731915</v>
      </c>
      <c r="G41" s="254">
        <v>673615799</v>
      </c>
      <c r="H41" s="254">
        <v>670818063</v>
      </c>
      <c r="I41" s="254">
        <v>57682</v>
      </c>
      <c r="J41" s="254">
        <v>56414</v>
      </c>
      <c r="K41" s="254">
        <f t="shared" si="15"/>
        <v>43382</v>
      </c>
      <c r="L41" s="256">
        <f t="shared" si="2"/>
        <v>100.4</v>
      </c>
      <c r="M41" s="256">
        <f t="shared" si="12"/>
        <v>101.4</v>
      </c>
      <c r="N41" s="256">
        <f t="shared" si="12"/>
        <v>101.4</v>
      </c>
      <c r="O41" s="257">
        <f t="shared" si="10"/>
        <v>100.2</v>
      </c>
    </row>
    <row r="42" spans="1:15" ht="24.75" customHeight="1" hidden="1">
      <c r="A42" s="852"/>
      <c r="B42" s="848" t="s">
        <v>3</v>
      </c>
      <c r="C42" s="846"/>
      <c r="D42" s="255">
        <f aca="true" t="shared" si="19" ref="D42:J42">D40+D41</f>
        <v>27472202</v>
      </c>
      <c r="E42" s="255">
        <f t="shared" si="19"/>
        <v>26993221</v>
      </c>
      <c r="F42" s="255">
        <f t="shared" si="19"/>
        <v>947531503</v>
      </c>
      <c r="G42" s="255">
        <f t="shared" si="19"/>
        <v>946694402</v>
      </c>
      <c r="H42" s="255">
        <f t="shared" si="19"/>
        <v>943895480</v>
      </c>
      <c r="I42" s="255">
        <f t="shared" si="19"/>
        <v>171850</v>
      </c>
      <c r="J42" s="255">
        <f t="shared" si="19"/>
        <v>161579</v>
      </c>
      <c r="K42" s="255">
        <f t="shared" si="15"/>
        <v>34491</v>
      </c>
      <c r="L42" s="258">
        <f t="shared" si="2"/>
        <v>100.6</v>
      </c>
      <c r="M42" s="258">
        <f aca="true" t="shared" si="20" ref="M42:N57">ROUND((G42/G39)*100,1)</f>
        <v>102.3</v>
      </c>
      <c r="N42" s="258">
        <f t="shared" si="20"/>
        <v>102.3</v>
      </c>
      <c r="O42" s="259">
        <f t="shared" si="10"/>
        <v>100.3</v>
      </c>
    </row>
    <row r="43" spans="1:15" ht="24.75" customHeight="1" hidden="1">
      <c r="A43" s="850" t="s">
        <v>135</v>
      </c>
      <c r="B43" s="848" t="s">
        <v>123</v>
      </c>
      <c r="C43" s="853"/>
      <c r="D43" s="255">
        <v>12022260</v>
      </c>
      <c r="E43" s="255">
        <v>11591800</v>
      </c>
      <c r="F43" s="255">
        <v>285559839</v>
      </c>
      <c r="G43" s="255">
        <v>284857890</v>
      </c>
      <c r="H43" s="255">
        <v>284856704</v>
      </c>
      <c r="I43" s="255">
        <v>114202</v>
      </c>
      <c r="J43" s="255">
        <v>105443</v>
      </c>
      <c r="K43" s="255">
        <f>ROUND((F43*1000)/D43,0)</f>
        <v>23753</v>
      </c>
      <c r="L43" s="258">
        <f t="shared" si="2"/>
        <v>100.8</v>
      </c>
      <c r="M43" s="258">
        <f t="shared" si="20"/>
        <v>104.3</v>
      </c>
      <c r="N43" s="258">
        <f t="shared" si="20"/>
        <v>104.3</v>
      </c>
      <c r="O43" s="259">
        <f t="shared" si="10"/>
        <v>100.3</v>
      </c>
    </row>
    <row r="44" spans="1:15" ht="24.75" customHeight="1" hidden="1">
      <c r="A44" s="851"/>
      <c r="B44" s="854" t="s">
        <v>124</v>
      </c>
      <c r="C44" s="855"/>
      <c r="D44" s="254">
        <v>15517951</v>
      </c>
      <c r="E44" s="254">
        <v>15482031</v>
      </c>
      <c r="F44" s="254">
        <v>678644734</v>
      </c>
      <c r="G44" s="254">
        <v>678530048</v>
      </c>
      <c r="H44" s="254">
        <v>675804049</v>
      </c>
      <c r="I44" s="254">
        <v>57692</v>
      </c>
      <c r="J44" s="254">
        <v>56430</v>
      </c>
      <c r="K44" s="254">
        <f>ROUND((F44*1000)/D44,0)</f>
        <v>43733</v>
      </c>
      <c r="L44" s="256">
        <f t="shared" si="2"/>
        <v>99.9</v>
      </c>
      <c r="M44" s="256">
        <f t="shared" si="20"/>
        <v>100.7</v>
      </c>
      <c r="N44" s="256">
        <f t="shared" si="20"/>
        <v>100.7</v>
      </c>
      <c r="O44" s="257">
        <f t="shared" si="10"/>
        <v>100</v>
      </c>
    </row>
    <row r="45" spans="1:15" ht="24.75" customHeight="1" hidden="1">
      <c r="A45" s="852"/>
      <c r="B45" s="848" t="s">
        <v>3</v>
      </c>
      <c r="C45" s="846"/>
      <c r="D45" s="255">
        <f aca="true" t="shared" si="21" ref="D45:J45">D43+D44</f>
        <v>27540211</v>
      </c>
      <c r="E45" s="255">
        <f t="shared" si="21"/>
        <v>27073831</v>
      </c>
      <c r="F45" s="255">
        <f t="shared" si="21"/>
        <v>964204573</v>
      </c>
      <c r="G45" s="255">
        <f t="shared" si="21"/>
        <v>963387938</v>
      </c>
      <c r="H45" s="255">
        <f t="shared" si="21"/>
        <v>960660753</v>
      </c>
      <c r="I45" s="255">
        <f t="shared" si="21"/>
        <v>171894</v>
      </c>
      <c r="J45" s="255">
        <f t="shared" si="21"/>
        <v>161873</v>
      </c>
      <c r="K45" s="255">
        <f>ROUND((F45*1000)/D45,0)</f>
        <v>35011</v>
      </c>
      <c r="L45" s="258">
        <f t="shared" si="2"/>
        <v>100.3</v>
      </c>
      <c r="M45" s="258">
        <f t="shared" si="20"/>
        <v>101.8</v>
      </c>
      <c r="N45" s="258">
        <f t="shared" si="20"/>
        <v>101.8</v>
      </c>
      <c r="O45" s="259">
        <f t="shared" si="10"/>
        <v>100.2</v>
      </c>
    </row>
    <row r="46" spans="1:15" ht="24.75" customHeight="1" hidden="1">
      <c r="A46" s="850" t="s">
        <v>93</v>
      </c>
      <c r="B46" s="848" t="s">
        <v>123</v>
      </c>
      <c r="C46" s="853"/>
      <c r="D46" s="255">
        <v>12116445</v>
      </c>
      <c r="E46" s="255">
        <v>11698044</v>
      </c>
      <c r="F46" s="255">
        <v>265452034</v>
      </c>
      <c r="G46" s="255">
        <v>264767892</v>
      </c>
      <c r="H46" s="255">
        <v>264766440</v>
      </c>
      <c r="I46" s="255">
        <v>114489</v>
      </c>
      <c r="J46" s="255">
        <v>105931</v>
      </c>
      <c r="K46" s="255">
        <f aca="true" t="shared" si="22" ref="K46:K69">ROUND((F46*1000)/D46,0)</f>
        <v>21908</v>
      </c>
      <c r="L46" s="258">
        <f t="shared" si="2"/>
        <v>100.9</v>
      </c>
      <c r="M46" s="258">
        <f t="shared" si="20"/>
        <v>92.9</v>
      </c>
      <c r="N46" s="258">
        <f t="shared" si="20"/>
        <v>92.9</v>
      </c>
      <c r="O46" s="259">
        <f t="shared" si="10"/>
        <v>100.5</v>
      </c>
    </row>
    <row r="47" spans="1:15" ht="24.75" customHeight="1" hidden="1">
      <c r="A47" s="851"/>
      <c r="B47" s="854" t="s">
        <v>124</v>
      </c>
      <c r="C47" s="855"/>
      <c r="D47" s="260">
        <v>15557279</v>
      </c>
      <c r="E47" s="260">
        <v>15518752</v>
      </c>
      <c r="F47" s="260">
        <v>608420194</v>
      </c>
      <c r="G47" s="260">
        <v>608299729</v>
      </c>
      <c r="H47" s="260">
        <v>605819399</v>
      </c>
      <c r="I47" s="260">
        <v>57775</v>
      </c>
      <c r="J47" s="260">
        <v>56432</v>
      </c>
      <c r="K47" s="254">
        <f t="shared" si="22"/>
        <v>39108</v>
      </c>
      <c r="L47" s="256">
        <f t="shared" si="2"/>
        <v>100.2</v>
      </c>
      <c r="M47" s="256">
        <f t="shared" si="20"/>
        <v>89.6</v>
      </c>
      <c r="N47" s="256">
        <f t="shared" si="20"/>
        <v>89.6</v>
      </c>
      <c r="O47" s="257">
        <f t="shared" si="10"/>
        <v>100</v>
      </c>
    </row>
    <row r="48" spans="1:15" ht="24.75" customHeight="1" hidden="1">
      <c r="A48" s="852"/>
      <c r="B48" s="848" t="s">
        <v>3</v>
      </c>
      <c r="C48" s="846"/>
      <c r="D48" s="255">
        <f aca="true" t="shared" si="23" ref="D48:J48">D46+D47</f>
        <v>27673724</v>
      </c>
      <c r="E48" s="255">
        <f t="shared" si="23"/>
        <v>27216796</v>
      </c>
      <c r="F48" s="255">
        <f t="shared" si="23"/>
        <v>873872228</v>
      </c>
      <c r="G48" s="255">
        <f t="shared" si="23"/>
        <v>873067621</v>
      </c>
      <c r="H48" s="255">
        <f t="shared" si="23"/>
        <v>870585839</v>
      </c>
      <c r="I48" s="255">
        <f t="shared" si="23"/>
        <v>172264</v>
      </c>
      <c r="J48" s="255">
        <f t="shared" si="23"/>
        <v>162363</v>
      </c>
      <c r="K48" s="255">
        <f t="shared" si="22"/>
        <v>31578</v>
      </c>
      <c r="L48" s="258">
        <f t="shared" si="2"/>
        <v>100.5</v>
      </c>
      <c r="M48" s="258">
        <f t="shared" si="20"/>
        <v>90.6</v>
      </c>
      <c r="N48" s="258">
        <f t="shared" si="20"/>
        <v>90.6</v>
      </c>
      <c r="O48" s="259">
        <f t="shared" si="10"/>
        <v>100.3</v>
      </c>
    </row>
    <row r="49" spans="1:15" ht="24.75" customHeight="1" hidden="1">
      <c r="A49" s="850" t="s">
        <v>136</v>
      </c>
      <c r="B49" s="848" t="s">
        <v>137</v>
      </c>
      <c r="C49" s="853"/>
      <c r="D49" s="255">
        <v>12195522</v>
      </c>
      <c r="E49" s="255">
        <v>11787156</v>
      </c>
      <c r="F49" s="255">
        <v>276860413</v>
      </c>
      <c r="G49" s="255">
        <v>276193045</v>
      </c>
      <c r="H49" s="255">
        <v>276191659</v>
      </c>
      <c r="I49" s="255">
        <v>114584</v>
      </c>
      <c r="J49" s="255">
        <v>106226</v>
      </c>
      <c r="K49" s="255">
        <f>ROUND((F49*1000)/D49,0)</f>
        <v>22702</v>
      </c>
      <c r="L49" s="258">
        <f t="shared" si="2"/>
        <v>100.8</v>
      </c>
      <c r="M49" s="258">
        <f t="shared" si="20"/>
        <v>104.3</v>
      </c>
      <c r="N49" s="258">
        <f t="shared" si="20"/>
        <v>104.3</v>
      </c>
      <c r="O49" s="259">
        <f t="shared" si="10"/>
        <v>100.3</v>
      </c>
    </row>
    <row r="50" spans="1:15" ht="24.75" customHeight="1" hidden="1">
      <c r="A50" s="851"/>
      <c r="B50" s="854" t="s">
        <v>138</v>
      </c>
      <c r="C50" s="855"/>
      <c r="D50" s="260">
        <v>15630855</v>
      </c>
      <c r="E50" s="260">
        <v>15592364</v>
      </c>
      <c r="F50" s="260">
        <v>619971080</v>
      </c>
      <c r="G50" s="260">
        <v>619849545</v>
      </c>
      <c r="H50" s="260">
        <v>617468861</v>
      </c>
      <c r="I50" s="260">
        <v>57850</v>
      </c>
      <c r="J50" s="260">
        <v>56505</v>
      </c>
      <c r="K50" s="260">
        <f t="shared" si="22"/>
        <v>39663</v>
      </c>
      <c r="L50" s="261">
        <f t="shared" si="2"/>
        <v>100.5</v>
      </c>
      <c r="M50" s="261">
        <f t="shared" si="20"/>
        <v>101.9</v>
      </c>
      <c r="N50" s="261">
        <f t="shared" si="20"/>
        <v>101.9</v>
      </c>
      <c r="O50" s="262">
        <f t="shared" si="10"/>
        <v>100.1</v>
      </c>
    </row>
    <row r="51" spans="1:15" ht="24.75" customHeight="1" hidden="1">
      <c r="A51" s="852"/>
      <c r="B51" s="845" t="s">
        <v>97</v>
      </c>
      <c r="C51" s="846"/>
      <c r="D51" s="255">
        <f aca="true" t="shared" si="24" ref="D51:J51">D49+D50</f>
        <v>27826377</v>
      </c>
      <c r="E51" s="255">
        <f t="shared" si="24"/>
        <v>27379520</v>
      </c>
      <c r="F51" s="255">
        <f t="shared" si="24"/>
        <v>896831493</v>
      </c>
      <c r="G51" s="255">
        <f t="shared" si="24"/>
        <v>896042590</v>
      </c>
      <c r="H51" s="255">
        <f t="shared" si="24"/>
        <v>893660520</v>
      </c>
      <c r="I51" s="255">
        <f t="shared" si="24"/>
        <v>172434</v>
      </c>
      <c r="J51" s="255">
        <f t="shared" si="24"/>
        <v>162731</v>
      </c>
      <c r="K51" s="255">
        <f t="shared" si="22"/>
        <v>32230</v>
      </c>
      <c r="L51" s="258">
        <f t="shared" si="2"/>
        <v>100.6</v>
      </c>
      <c r="M51" s="258">
        <f t="shared" si="20"/>
        <v>102.6</v>
      </c>
      <c r="N51" s="258">
        <f t="shared" si="20"/>
        <v>102.7</v>
      </c>
      <c r="O51" s="259">
        <f t="shared" si="10"/>
        <v>100.2</v>
      </c>
    </row>
    <row r="52" spans="1:15" ht="13.5" customHeight="1" hidden="1">
      <c r="A52" s="850" t="s">
        <v>139</v>
      </c>
      <c r="B52" s="848" t="s">
        <v>137</v>
      </c>
      <c r="C52" s="853"/>
      <c r="D52" s="255">
        <v>12289443</v>
      </c>
      <c r="E52" s="255">
        <v>11893220</v>
      </c>
      <c r="F52" s="255">
        <v>289188376</v>
      </c>
      <c r="G52" s="255">
        <v>288539531</v>
      </c>
      <c r="H52" s="255">
        <v>289185763</v>
      </c>
      <c r="I52" s="255">
        <v>114846</v>
      </c>
      <c r="J52" s="255">
        <v>106736</v>
      </c>
      <c r="K52" s="255">
        <f t="shared" si="22"/>
        <v>23531</v>
      </c>
      <c r="L52" s="258">
        <f t="shared" si="2"/>
        <v>100.9</v>
      </c>
      <c r="M52" s="258">
        <f t="shared" si="20"/>
        <v>104.5</v>
      </c>
      <c r="N52" s="258">
        <f>ROUND((H52/H49)*100,1)</f>
        <v>104.7</v>
      </c>
      <c r="O52" s="259">
        <f t="shared" si="10"/>
        <v>100.5</v>
      </c>
    </row>
    <row r="53" spans="1:15" ht="13.5" customHeight="1" hidden="1">
      <c r="A53" s="851"/>
      <c r="B53" s="854" t="s">
        <v>138</v>
      </c>
      <c r="C53" s="855"/>
      <c r="D53" s="260">
        <v>15655919</v>
      </c>
      <c r="E53" s="260">
        <v>15618001</v>
      </c>
      <c r="F53" s="260">
        <v>626470502</v>
      </c>
      <c r="G53" s="260">
        <v>626351553</v>
      </c>
      <c r="H53" s="260">
        <v>623968934</v>
      </c>
      <c r="I53" s="260">
        <v>57961</v>
      </c>
      <c r="J53" s="260">
        <v>56643</v>
      </c>
      <c r="K53" s="260">
        <f t="shared" si="22"/>
        <v>40015</v>
      </c>
      <c r="L53" s="261">
        <f t="shared" si="2"/>
        <v>100.2</v>
      </c>
      <c r="M53" s="261">
        <f t="shared" si="20"/>
        <v>101</v>
      </c>
      <c r="N53" s="261">
        <f t="shared" si="20"/>
        <v>101.1</v>
      </c>
      <c r="O53" s="262">
        <f t="shared" si="10"/>
        <v>100.2</v>
      </c>
    </row>
    <row r="54" spans="1:15" ht="13.5" customHeight="1" hidden="1">
      <c r="A54" s="852"/>
      <c r="B54" s="845" t="s">
        <v>97</v>
      </c>
      <c r="C54" s="846"/>
      <c r="D54" s="255">
        <f aca="true" t="shared" si="25" ref="D54:J54">D52+D53</f>
        <v>27945362</v>
      </c>
      <c r="E54" s="255">
        <f t="shared" si="25"/>
        <v>27511221</v>
      </c>
      <c r="F54" s="255">
        <f t="shared" si="25"/>
        <v>915658878</v>
      </c>
      <c r="G54" s="255">
        <f t="shared" si="25"/>
        <v>914891084</v>
      </c>
      <c r="H54" s="255">
        <f t="shared" si="25"/>
        <v>913154697</v>
      </c>
      <c r="I54" s="255">
        <f t="shared" si="25"/>
        <v>172807</v>
      </c>
      <c r="J54" s="255">
        <f t="shared" si="25"/>
        <v>163379</v>
      </c>
      <c r="K54" s="255">
        <f t="shared" si="22"/>
        <v>32766</v>
      </c>
      <c r="L54" s="258">
        <f t="shared" si="2"/>
        <v>100.5</v>
      </c>
      <c r="M54" s="258">
        <f t="shared" si="20"/>
        <v>102.1</v>
      </c>
      <c r="N54" s="258">
        <f t="shared" si="20"/>
        <v>102.2</v>
      </c>
      <c r="O54" s="259">
        <f t="shared" si="10"/>
        <v>100.4</v>
      </c>
    </row>
    <row r="55" spans="1:15" ht="24.75" customHeight="1" hidden="1">
      <c r="A55" s="850" t="s">
        <v>140</v>
      </c>
      <c r="B55" s="848" t="s">
        <v>137</v>
      </c>
      <c r="C55" s="853"/>
      <c r="D55" s="255">
        <v>12396035</v>
      </c>
      <c r="E55" s="255">
        <v>12009399</v>
      </c>
      <c r="F55" s="255">
        <v>284742561</v>
      </c>
      <c r="G55" s="255">
        <v>284109866</v>
      </c>
      <c r="H55" s="255">
        <v>284735274</v>
      </c>
      <c r="I55" s="255">
        <v>115108</v>
      </c>
      <c r="J55" s="255">
        <v>107194</v>
      </c>
      <c r="K55" s="255">
        <f t="shared" si="22"/>
        <v>22970</v>
      </c>
      <c r="L55" s="258">
        <f>ROUND((E55/E52)*100,1)</f>
        <v>101</v>
      </c>
      <c r="M55" s="258">
        <f t="shared" si="20"/>
        <v>98.5</v>
      </c>
      <c r="N55" s="258">
        <f t="shared" si="20"/>
        <v>98.5</v>
      </c>
      <c r="O55" s="259">
        <f t="shared" si="10"/>
        <v>100.4</v>
      </c>
    </row>
    <row r="56" spans="1:15" ht="24.75" customHeight="1" hidden="1">
      <c r="A56" s="851"/>
      <c r="B56" s="854" t="s">
        <v>138</v>
      </c>
      <c r="C56" s="855"/>
      <c r="D56" s="260">
        <v>15691901</v>
      </c>
      <c r="E56" s="260">
        <v>15652127</v>
      </c>
      <c r="F56" s="260">
        <v>610719463</v>
      </c>
      <c r="G56" s="260">
        <v>610595944</v>
      </c>
      <c r="H56" s="260">
        <v>608248109</v>
      </c>
      <c r="I56" s="260">
        <v>57981</v>
      </c>
      <c r="J56" s="260">
        <v>56610</v>
      </c>
      <c r="K56" s="260">
        <f t="shared" si="22"/>
        <v>38919</v>
      </c>
      <c r="L56" s="261">
        <f>ROUND((E56/E53)*100,1)</f>
        <v>100.2</v>
      </c>
      <c r="M56" s="261">
        <f t="shared" si="20"/>
        <v>97.5</v>
      </c>
      <c r="N56" s="261">
        <f t="shared" si="20"/>
        <v>97.5</v>
      </c>
      <c r="O56" s="262">
        <f t="shared" si="10"/>
        <v>99.9</v>
      </c>
    </row>
    <row r="57" spans="1:15" ht="24.75" customHeight="1" hidden="1">
      <c r="A57" s="852"/>
      <c r="B57" s="845" t="s">
        <v>97</v>
      </c>
      <c r="C57" s="846"/>
      <c r="D57" s="255">
        <f aca="true" t="shared" si="26" ref="D57:J57">D55+D56</f>
        <v>28087936</v>
      </c>
      <c r="E57" s="255">
        <f t="shared" si="26"/>
        <v>27661526</v>
      </c>
      <c r="F57" s="255">
        <f t="shared" si="26"/>
        <v>895462024</v>
      </c>
      <c r="G57" s="255">
        <f t="shared" si="26"/>
        <v>894705810</v>
      </c>
      <c r="H57" s="255">
        <f t="shared" si="26"/>
        <v>892983383</v>
      </c>
      <c r="I57" s="255">
        <f t="shared" si="26"/>
        <v>173089</v>
      </c>
      <c r="J57" s="255">
        <f t="shared" si="26"/>
        <v>163804</v>
      </c>
      <c r="K57" s="255">
        <f t="shared" si="22"/>
        <v>31881</v>
      </c>
      <c r="L57" s="258">
        <f t="shared" si="2"/>
        <v>100.5</v>
      </c>
      <c r="M57" s="258">
        <f t="shared" si="20"/>
        <v>97.8</v>
      </c>
      <c r="N57" s="258">
        <f t="shared" si="20"/>
        <v>97.8</v>
      </c>
      <c r="O57" s="259">
        <f t="shared" si="10"/>
        <v>100.3</v>
      </c>
    </row>
    <row r="58" spans="1:15" ht="24.75" customHeight="1">
      <c r="A58" s="856" t="s">
        <v>141</v>
      </c>
      <c r="B58" s="848" t="s">
        <v>137</v>
      </c>
      <c r="C58" s="853"/>
      <c r="D58" s="255">
        <v>12483526</v>
      </c>
      <c r="E58" s="255">
        <v>12109129</v>
      </c>
      <c r="F58" s="255">
        <v>296981301</v>
      </c>
      <c r="G58" s="255">
        <v>296367724</v>
      </c>
      <c r="H58" s="255">
        <v>296974117</v>
      </c>
      <c r="I58" s="255">
        <v>115261</v>
      </c>
      <c r="J58" s="255">
        <v>107587</v>
      </c>
      <c r="K58" s="255">
        <f t="shared" si="22"/>
        <v>23790</v>
      </c>
      <c r="L58" s="258">
        <f t="shared" si="2"/>
        <v>100.8</v>
      </c>
      <c r="M58" s="258">
        <f aca="true" t="shared" si="27" ref="M58:N72">ROUND((G58/G55)*100,1)</f>
        <v>104.3</v>
      </c>
      <c r="N58" s="258">
        <f t="shared" si="27"/>
        <v>104.3</v>
      </c>
      <c r="O58" s="259">
        <f t="shared" si="10"/>
        <v>100.4</v>
      </c>
    </row>
    <row r="59" spans="1:15" ht="24.75" customHeight="1">
      <c r="A59" s="851"/>
      <c r="B59" s="854" t="s">
        <v>138</v>
      </c>
      <c r="C59" s="855"/>
      <c r="D59" s="260">
        <v>15725497</v>
      </c>
      <c r="E59" s="260">
        <v>15686547</v>
      </c>
      <c r="F59" s="260">
        <v>619022494</v>
      </c>
      <c r="G59" s="260">
        <v>618899656</v>
      </c>
      <c r="H59" s="260">
        <v>616834874</v>
      </c>
      <c r="I59" s="260">
        <v>58102</v>
      </c>
      <c r="J59" s="260">
        <v>56751</v>
      </c>
      <c r="K59" s="260">
        <f t="shared" si="22"/>
        <v>39364</v>
      </c>
      <c r="L59" s="261">
        <f t="shared" si="2"/>
        <v>100.2</v>
      </c>
      <c r="M59" s="261">
        <f t="shared" si="27"/>
        <v>101.4</v>
      </c>
      <c r="N59" s="261">
        <f t="shared" si="27"/>
        <v>101.4</v>
      </c>
      <c r="O59" s="262">
        <f t="shared" si="10"/>
        <v>100.2</v>
      </c>
    </row>
    <row r="60" spans="1:15" ht="24.75" customHeight="1">
      <c r="A60" s="852"/>
      <c r="B60" s="845" t="s">
        <v>97</v>
      </c>
      <c r="C60" s="846"/>
      <c r="D60" s="255">
        <f aca="true" t="shared" si="28" ref="D60:J60">D58+D59</f>
        <v>28209023</v>
      </c>
      <c r="E60" s="255">
        <f t="shared" si="28"/>
        <v>27795676</v>
      </c>
      <c r="F60" s="255">
        <f t="shared" si="28"/>
        <v>916003795</v>
      </c>
      <c r="G60" s="255">
        <f t="shared" si="28"/>
        <v>915267380</v>
      </c>
      <c r="H60" s="255">
        <f t="shared" si="28"/>
        <v>913808991</v>
      </c>
      <c r="I60" s="255">
        <f t="shared" si="28"/>
        <v>173363</v>
      </c>
      <c r="J60" s="255">
        <f t="shared" si="28"/>
        <v>164338</v>
      </c>
      <c r="K60" s="255">
        <f t="shared" si="22"/>
        <v>32472</v>
      </c>
      <c r="L60" s="258">
        <f t="shared" si="2"/>
        <v>100.5</v>
      </c>
      <c r="M60" s="258">
        <f t="shared" si="27"/>
        <v>102.3</v>
      </c>
      <c r="N60" s="258">
        <f t="shared" si="27"/>
        <v>102.3</v>
      </c>
      <c r="O60" s="259">
        <f t="shared" si="10"/>
        <v>100.3</v>
      </c>
    </row>
    <row r="61" spans="1:15" ht="24.75" customHeight="1">
      <c r="A61" s="856" t="s">
        <v>142</v>
      </c>
      <c r="B61" s="848" t="s">
        <v>137</v>
      </c>
      <c r="C61" s="853"/>
      <c r="D61" s="255">
        <v>12567511</v>
      </c>
      <c r="E61" s="255">
        <v>12205714</v>
      </c>
      <c r="F61" s="255">
        <v>309748306</v>
      </c>
      <c r="G61" s="255">
        <v>309154361</v>
      </c>
      <c r="H61" s="255">
        <v>309741170</v>
      </c>
      <c r="I61" s="255">
        <v>115294</v>
      </c>
      <c r="J61" s="255">
        <v>107883</v>
      </c>
      <c r="K61" s="255">
        <f t="shared" si="22"/>
        <v>24647</v>
      </c>
      <c r="L61" s="258">
        <f t="shared" si="2"/>
        <v>100.8</v>
      </c>
      <c r="M61" s="258">
        <f t="shared" si="27"/>
        <v>104.3</v>
      </c>
      <c r="N61" s="258">
        <f t="shared" si="27"/>
        <v>104.3</v>
      </c>
      <c r="O61" s="259">
        <f t="shared" si="10"/>
        <v>100.3</v>
      </c>
    </row>
    <row r="62" spans="1:15" ht="24.75" customHeight="1">
      <c r="A62" s="851"/>
      <c r="B62" s="854" t="s">
        <v>138</v>
      </c>
      <c r="C62" s="855"/>
      <c r="D62" s="260">
        <v>15741835</v>
      </c>
      <c r="E62" s="260">
        <v>15703265</v>
      </c>
      <c r="F62" s="260">
        <v>627279361</v>
      </c>
      <c r="G62" s="260">
        <v>627155844</v>
      </c>
      <c r="H62" s="260">
        <v>625000309</v>
      </c>
      <c r="I62" s="260">
        <v>58176</v>
      </c>
      <c r="J62" s="260">
        <v>56834</v>
      </c>
      <c r="K62" s="260">
        <f t="shared" si="22"/>
        <v>39848</v>
      </c>
      <c r="L62" s="261">
        <f t="shared" si="2"/>
        <v>100.1</v>
      </c>
      <c r="M62" s="261">
        <f t="shared" si="27"/>
        <v>101.3</v>
      </c>
      <c r="N62" s="261">
        <f t="shared" si="27"/>
        <v>101.3</v>
      </c>
      <c r="O62" s="262">
        <f t="shared" si="10"/>
        <v>100.1</v>
      </c>
    </row>
    <row r="63" spans="1:15" ht="24.75" customHeight="1">
      <c r="A63" s="852"/>
      <c r="B63" s="845" t="s">
        <v>97</v>
      </c>
      <c r="C63" s="846"/>
      <c r="D63" s="255">
        <f aca="true" t="shared" si="29" ref="D63:J63">D61+D62</f>
        <v>28309346</v>
      </c>
      <c r="E63" s="255">
        <f t="shared" si="29"/>
        <v>27908979</v>
      </c>
      <c r="F63" s="255">
        <f t="shared" si="29"/>
        <v>937027667</v>
      </c>
      <c r="G63" s="255">
        <f t="shared" si="29"/>
        <v>936310205</v>
      </c>
      <c r="H63" s="255">
        <f t="shared" si="29"/>
        <v>934741479</v>
      </c>
      <c r="I63" s="255">
        <f t="shared" si="29"/>
        <v>173470</v>
      </c>
      <c r="J63" s="255">
        <f t="shared" si="29"/>
        <v>164717</v>
      </c>
      <c r="K63" s="255">
        <f t="shared" si="22"/>
        <v>33100</v>
      </c>
      <c r="L63" s="258">
        <f t="shared" si="2"/>
        <v>100.4</v>
      </c>
      <c r="M63" s="258">
        <f t="shared" si="27"/>
        <v>102.3</v>
      </c>
      <c r="N63" s="258">
        <f t="shared" si="27"/>
        <v>102.3</v>
      </c>
      <c r="O63" s="259">
        <f t="shared" si="10"/>
        <v>100.2</v>
      </c>
    </row>
    <row r="64" spans="1:15" ht="24.75" customHeight="1">
      <c r="A64" s="856" t="s">
        <v>143</v>
      </c>
      <c r="B64" s="848" t="s">
        <v>137</v>
      </c>
      <c r="C64" s="853"/>
      <c r="D64" s="255">
        <v>12680606</v>
      </c>
      <c r="E64" s="255">
        <v>12330017</v>
      </c>
      <c r="F64" s="255">
        <v>302729249</v>
      </c>
      <c r="G64" s="255">
        <v>302153984</v>
      </c>
      <c r="H64" s="255">
        <v>302513981</v>
      </c>
      <c r="I64" s="255">
        <v>115586</v>
      </c>
      <c r="J64" s="255">
        <v>108400</v>
      </c>
      <c r="K64" s="255">
        <f t="shared" si="22"/>
        <v>23873</v>
      </c>
      <c r="L64" s="258">
        <f t="shared" si="2"/>
        <v>101</v>
      </c>
      <c r="M64" s="258">
        <f t="shared" si="27"/>
        <v>97.7</v>
      </c>
      <c r="N64" s="258">
        <f t="shared" si="27"/>
        <v>97.7</v>
      </c>
      <c r="O64" s="259">
        <f t="shared" si="10"/>
        <v>100.5</v>
      </c>
    </row>
    <row r="65" spans="1:15" ht="24.75" customHeight="1">
      <c r="A65" s="851"/>
      <c r="B65" s="854" t="s">
        <v>138</v>
      </c>
      <c r="C65" s="855"/>
      <c r="D65" s="260">
        <v>15774035</v>
      </c>
      <c r="E65" s="260">
        <v>15734410</v>
      </c>
      <c r="F65" s="260">
        <v>614844806</v>
      </c>
      <c r="G65" s="260">
        <v>614718741</v>
      </c>
      <c r="H65" s="260">
        <v>612848742</v>
      </c>
      <c r="I65" s="260">
        <v>58206</v>
      </c>
      <c r="J65" s="260">
        <v>56830</v>
      </c>
      <c r="K65" s="260">
        <f t="shared" si="22"/>
        <v>38978</v>
      </c>
      <c r="L65" s="261">
        <f t="shared" si="2"/>
        <v>100.2</v>
      </c>
      <c r="M65" s="261">
        <f t="shared" si="27"/>
        <v>98</v>
      </c>
      <c r="N65" s="261">
        <f t="shared" si="27"/>
        <v>98.1</v>
      </c>
      <c r="O65" s="262">
        <f t="shared" si="10"/>
        <v>100</v>
      </c>
    </row>
    <row r="66" spans="1:15" ht="24.75" customHeight="1">
      <c r="A66" s="852"/>
      <c r="B66" s="845" t="s">
        <v>97</v>
      </c>
      <c r="C66" s="846"/>
      <c r="D66" s="255">
        <f aca="true" t="shared" si="30" ref="D66:J66">D64+D65</f>
        <v>28454641</v>
      </c>
      <c r="E66" s="255">
        <f t="shared" si="30"/>
        <v>28064427</v>
      </c>
      <c r="F66" s="255">
        <f t="shared" si="30"/>
        <v>917574055</v>
      </c>
      <c r="G66" s="255">
        <f t="shared" si="30"/>
        <v>916872725</v>
      </c>
      <c r="H66" s="255">
        <f t="shared" si="30"/>
        <v>915362723</v>
      </c>
      <c r="I66" s="255">
        <f t="shared" si="30"/>
        <v>173792</v>
      </c>
      <c r="J66" s="255">
        <f t="shared" si="30"/>
        <v>165230</v>
      </c>
      <c r="K66" s="255">
        <f t="shared" si="22"/>
        <v>32247</v>
      </c>
      <c r="L66" s="258">
        <f t="shared" si="2"/>
        <v>100.6</v>
      </c>
      <c r="M66" s="258">
        <f t="shared" si="27"/>
        <v>97.9</v>
      </c>
      <c r="N66" s="258">
        <f t="shared" si="27"/>
        <v>97.9</v>
      </c>
      <c r="O66" s="259">
        <f t="shared" si="10"/>
        <v>100.3</v>
      </c>
    </row>
    <row r="67" spans="1:15" ht="24.75" customHeight="1">
      <c r="A67" s="856" t="s">
        <v>144</v>
      </c>
      <c r="B67" s="848" t="s">
        <v>137</v>
      </c>
      <c r="C67" s="853"/>
      <c r="D67" s="255">
        <v>12781470</v>
      </c>
      <c r="E67" s="255">
        <v>12443126</v>
      </c>
      <c r="F67" s="255">
        <v>316840137</v>
      </c>
      <c r="G67" s="255">
        <v>316282413</v>
      </c>
      <c r="H67" s="255">
        <v>316822291</v>
      </c>
      <c r="I67" s="255">
        <v>115828</v>
      </c>
      <c r="J67" s="255">
        <v>108884</v>
      </c>
      <c r="K67" s="255">
        <f t="shared" si="22"/>
        <v>24789</v>
      </c>
      <c r="L67" s="258">
        <f t="shared" si="2"/>
        <v>100.9</v>
      </c>
      <c r="M67" s="258">
        <f>ROUND((G67/G64)*100,1)</f>
        <v>104.7</v>
      </c>
      <c r="N67" s="258">
        <f t="shared" si="27"/>
        <v>104.7</v>
      </c>
      <c r="O67" s="259">
        <f t="shared" si="10"/>
        <v>100.4</v>
      </c>
    </row>
    <row r="68" spans="1:15" ht="24.75" customHeight="1">
      <c r="A68" s="851"/>
      <c r="B68" s="854" t="s">
        <v>138</v>
      </c>
      <c r="C68" s="855"/>
      <c r="D68" s="260">
        <v>15797883</v>
      </c>
      <c r="E68" s="260">
        <v>15758709</v>
      </c>
      <c r="F68" s="260">
        <v>624470005</v>
      </c>
      <c r="G68" s="260">
        <v>624345261</v>
      </c>
      <c r="H68" s="260">
        <v>622266944</v>
      </c>
      <c r="I68" s="260">
        <v>58248</v>
      </c>
      <c r="J68" s="260">
        <v>56879</v>
      </c>
      <c r="K68" s="260">
        <f t="shared" si="22"/>
        <v>39529</v>
      </c>
      <c r="L68" s="261">
        <f t="shared" si="2"/>
        <v>100.2</v>
      </c>
      <c r="M68" s="261">
        <f>ROUND((G68/G65)*100,1)</f>
        <v>101.6</v>
      </c>
      <c r="N68" s="261">
        <f t="shared" si="27"/>
        <v>101.5</v>
      </c>
      <c r="O68" s="262">
        <f t="shared" si="10"/>
        <v>100.1</v>
      </c>
    </row>
    <row r="69" spans="1:15" ht="24.75" customHeight="1">
      <c r="A69" s="852"/>
      <c r="B69" s="845" t="s">
        <v>97</v>
      </c>
      <c r="C69" s="846"/>
      <c r="D69" s="255">
        <f aca="true" t="shared" si="31" ref="D69:J69">D67+D68</f>
        <v>28579353</v>
      </c>
      <c r="E69" s="255">
        <f t="shared" si="31"/>
        <v>28201835</v>
      </c>
      <c r="F69" s="255">
        <f t="shared" si="31"/>
        <v>941310142</v>
      </c>
      <c r="G69" s="255">
        <f t="shared" si="31"/>
        <v>940627674</v>
      </c>
      <c r="H69" s="255">
        <f t="shared" si="31"/>
        <v>939089235</v>
      </c>
      <c r="I69" s="255">
        <f t="shared" si="31"/>
        <v>174076</v>
      </c>
      <c r="J69" s="255">
        <f t="shared" si="31"/>
        <v>165763</v>
      </c>
      <c r="K69" s="255">
        <f t="shared" si="22"/>
        <v>32937</v>
      </c>
      <c r="L69" s="258">
        <f t="shared" si="2"/>
        <v>100.5</v>
      </c>
      <c r="M69" s="258">
        <f t="shared" si="27"/>
        <v>102.6</v>
      </c>
      <c r="N69" s="258">
        <f t="shared" si="27"/>
        <v>102.6</v>
      </c>
      <c r="O69" s="259">
        <f t="shared" si="10"/>
        <v>100.3</v>
      </c>
    </row>
    <row r="70" spans="1:15" ht="24.75" customHeight="1">
      <c r="A70" s="856" t="s">
        <v>145</v>
      </c>
      <c r="B70" s="848" t="s">
        <v>137</v>
      </c>
      <c r="C70" s="853"/>
      <c r="D70" s="255">
        <v>12849689</v>
      </c>
      <c r="E70" s="255">
        <v>12525079</v>
      </c>
      <c r="F70" s="255">
        <v>331081148</v>
      </c>
      <c r="G70" s="255">
        <v>330546154</v>
      </c>
      <c r="H70" s="255">
        <v>331039994</v>
      </c>
      <c r="I70" s="255">
        <v>115869</v>
      </c>
      <c r="J70" s="255">
        <v>109206</v>
      </c>
      <c r="K70" s="255">
        <f>ROUND((F70*1000)/D70,0)</f>
        <v>25766</v>
      </c>
      <c r="L70" s="258">
        <f t="shared" si="2"/>
        <v>100.7</v>
      </c>
      <c r="M70" s="258">
        <f t="shared" si="27"/>
        <v>104.5</v>
      </c>
      <c r="N70" s="258">
        <f t="shared" si="27"/>
        <v>104.5</v>
      </c>
      <c r="O70" s="259">
        <f t="shared" si="10"/>
        <v>100.3</v>
      </c>
    </row>
    <row r="71" spans="1:15" ht="24.75" customHeight="1">
      <c r="A71" s="851"/>
      <c r="B71" s="854" t="s">
        <v>138</v>
      </c>
      <c r="C71" s="855"/>
      <c r="D71" s="260">
        <v>15819606</v>
      </c>
      <c r="E71" s="260">
        <v>15777991</v>
      </c>
      <c r="F71" s="260">
        <v>634549008</v>
      </c>
      <c r="G71" s="260">
        <v>634424455</v>
      </c>
      <c r="H71" s="260">
        <v>632340486</v>
      </c>
      <c r="I71" s="260">
        <v>58254</v>
      </c>
      <c r="J71" s="260">
        <v>56882</v>
      </c>
      <c r="K71" s="260">
        <f>ROUND((F71*1000)/D71,0)</f>
        <v>40112</v>
      </c>
      <c r="L71" s="261">
        <f t="shared" si="2"/>
        <v>100.1</v>
      </c>
      <c r="M71" s="261">
        <f t="shared" si="27"/>
        <v>101.6</v>
      </c>
      <c r="N71" s="261">
        <f t="shared" si="27"/>
        <v>101.6</v>
      </c>
      <c r="O71" s="262">
        <f t="shared" si="10"/>
        <v>100</v>
      </c>
    </row>
    <row r="72" spans="1:15" ht="24.75" customHeight="1">
      <c r="A72" s="852"/>
      <c r="B72" s="845" t="s">
        <v>97</v>
      </c>
      <c r="C72" s="846"/>
      <c r="D72" s="255">
        <f aca="true" t="shared" si="32" ref="D72:J72">D70+D71</f>
        <v>28669295</v>
      </c>
      <c r="E72" s="255">
        <f t="shared" si="32"/>
        <v>28303070</v>
      </c>
      <c r="F72" s="255">
        <f t="shared" si="32"/>
        <v>965630156</v>
      </c>
      <c r="G72" s="255">
        <f t="shared" si="32"/>
        <v>964970609</v>
      </c>
      <c r="H72" s="255">
        <f t="shared" si="32"/>
        <v>963380480</v>
      </c>
      <c r="I72" s="255">
        <f t="shared" si="32"/>
        <v>174123</v>
      </c>
      <c r="J72" s="255">
        <f t="shared" si="32"/>
        <v>166088</v>
      </c>
      <c r="K72" s="255">
        <f>ROUND((F72*1000)/D72,0)</f>
        <v>33682</v>
      </c>
      <c r="L72" s="258">
        <f t="shared" si="2"/>
        <v>100.4</v>
      </c>
      <c r="M72" s="258">
        <f t="shared" si="27"/>
        <v>102.6</v>
      </c>
      <c r="N72" s="263">
        <f t="shared" si="27"/>
        <v>102.6</v>
      </c>
      <c r="O72" s="264">
        <f t="shared" si="10"/>
        <v>100.2</v>
      </c>
    </row>
    <row r="73" spans="1:15" ht="24.75" customHeight="1">
      <c r="A73" s="857" t="s">
        <v>146</v>
      </c>
      <c r="B73" s="265"/>
      <c r="C73" s="265" t="s">
        <v>147</v>
      </c>
      <c r="D73" s="255">
        <v>9708712</v>
      </c>
      <c r="E73" s="255">
        <v>9501359</v>
      </c>
      <c r="F73" s="255">
        <v>273430916</v>
      </c>
      <c r="G73" s="255">
        <v>272911158</v>
      </c>
      <c r="H73" s="266">
        <v>273104776</v>
      </c>
      <c r="I73" s="255">
        <v>77657</v>
      </c>
      <c r="J73" s="255">
        <v>74294</v>
      </c>
      <c r="K73" s="255">
        <f>ROUND((F73*1000)/D73,0)</f>
        <v>28163</v>
      </c>
      <c r="L73" s="258">
        <f>ROUND((E73/9408302)*100,1)</f>
        <v>101</v>
      </c>
      <c r="M73" s="258">
        <f>ROUND((G73/291681435)*100,1)</f>
        <v>93.6</v>
      </c>
      <c r="N73" s="261">
        <f>ROUND((H73/292026801)*100,1)</f>
        <v>93.5</v>
      </c>
      <c r="O73" s="262">
        <f>ROUND((J73/73623)*100,1)</f>
        <v>100.9</v>
      </c>
    </row>
    <row r="74" spans="1:15" ht="24.75" customHeight="1">
      <c r="A74" s="858"/>
      <c r="B74" s="238"/>
      <c r="C74" s="267" t="s">
        <v>148</v>
      </c>
      <c r="D74" s="260">
        <v>524942</v>
      </c>
      <c r="E74" s="260">
        <v>520626</v>
      </c>
      <c r="F74" s="260">
        <v>19915003</v>
      </c>
      <c r="G74" s="260">
        <v>19777800</v>
      </c>
      <c r="H74" s="268">
        <v>19672053</v>
      </c>
      <c r="I74" s="260">
        <v>2143</v>
      </c>
      <c r="J74" s="260">
        <v>2125</v>
      </c>
      <c r="K74" s="269">
        <f aca="true" t="shared" si="33" ref="K74:K86">ROUND((F74*1000)/D74,0)</f>
        <v>37938</v>
      </c>
      <c r="L74" s="261">
        <f>ROUND((E74/495711)*100,1)</f>
        <v>105</v>
      </c>
      <c r="M74" s="261">
        <f>ROUND((G74/19850961)*100,1)</f>
        <v>99.6</v>
      </c>
      <c r="N74" s="261">
        <f>ROUND((H74/19851487)*100,1)</f>
        <v>99.1</v>
      </c>
      <c r="O74" s="262">
        <f>ROUND((J74/2074)*100,1)</f>
        <v>102.5</v>
      </c>
    </row>
    <row r="75" spans="1:15" ht="24.75" customHeight="1">
      <c r="A75" s="858"/>
      <c r="B75" s="238" t="s">
        <v>149</v>
      </c>
      <c r="C75" s="267" t="s">
        <v>150</v>
      </c>
      <c r="D75" s="260">
        <v>1328604</v>
      </c>
      <c r="E75" s="260">
        <v>1315996</v>
      </c>
      <c r="F75" s="260">
        <v>7657078</v>
      </c>
      <c r="G75" s="260">
        <v>7610574</v>
      </c>
      <c r="H75" s="268">
        <v>7536120</v>
      </c>
      <c r="I75" s="260">
        <v>13376</v>
      </c>
      <c r="J75" s="260">
        <v>13211</v>
      </c>
      <c r="K75" s="269">
        <f t="shared" si="33"/>
        <v>5763</v>
      </c>
      <c r="L75" s="261">
        <f>ROUND((E75/1325255)*100,1)</f>
        <v>99.3</v>
      </c>
      <c r="M75" s="261">
        <f>ROUND((G75/8437926)*100,1)</f>
        <v>90.2</v>
      </c>
      <c r="N75" s="261">
        <f>ROUND((H75/8456986)*100,1)</f>
        <v>89.1</v>
      </c>
      <c r="O75" s="262">
        <f>ROUND((J75/13278)*100,1)</f>
        <v>99.5</v>
      </c>
    </row>
    <row r="76" spans="1:15" ht="24.75" customHeight="1">
      <c r="A76" s="858"/>
      <c r="B76" s="238"/>
      <c r="C76" s="267" t="s">
        <v>151</v>
      </c>
      <c r="D76" s="260">
        <v>16641</v>
      </c>
      <c r="E76" s="260">
        <v>16556</v>
      </c>
      <c r="F76" s="260">
        <v>48230</v>
      </c>
      <c r="G76" s="260">
        <v>42439</v>
      </c>
      <c r="H76" s="268">
        <v>40740</v>
      </c>
      <c r="I76" s="260">
        <v>328</v>
      </c>
      <c r="J76" s="260">
        <v>327</v>
      </c>
      <c r="K76" s="269">
        <f t="shared" si="33"/>
        <v>2898</v>
      </c>
      <c r="L76" s="261">
        <f>ROUND((E76/16641)*100,1)</f>
        <v>99.5</v>
      </c>
      <c r="M76" s="261">
        <f>ROUND((G76/53882)*100,1)</f>
        <v>78.8</v>
      </c>
      <c r="N76" s="261">
        <f>ROUND((H76/53756)*100,1)</f>
        <v>75.8</v>
      </c>
      <c r="O76" s="262">
        <f>ROUND((J76/328)*100,1)</f>
        <v>99.7</v>
      </c>
    </row>
    <row r="77" spans="1:15" ht="24.75" customHeight="1">
      <c r="A77" s="858"/>
      <c r="B77" s="238"/>
      <c r="C77" s="267" t="s">
        <v>152</v>
      </c>
      <c r="D77" s="260">
        <v>640813</v>
      </c>
      <c r="E77" s="260">
        <v>610947</v>
      </c>
      <c r="F77" s="260">
        <v>5837553</v>
      </c>
      <c r="G77" s="260">
        <v>5324162</v>
      </c>
      <c r="H77" s="268">
        <v>5038182</v>
      </c>
      <c r="I77" s="260">
        <v>6595</v>
      </c>
      <c r="J77" s="260">
        <v>6245</v>
      </c>
      <c r="K77" s="269">
        <f t="shared" si="33"/>
        <v>9110</v>
      </c>
      <c r="L77" s="261">
        <f>ROUND((E77/624474)*100,1)</f>
        <v>97.8</v>
      </c>
      <c r="M77" s="261">
        <f>ROUND((G77/6084472)*100,1)</f>
        <v>87.5</v>
      </c>
      <c r="N77" s="261">
        <f>ROUND((H77/6074867)*100,1)</f>
        <v>82.9</v>
      </c>
      <c r="O77" s="262">
        <f>ROUND((J77/6345)*100,1)</f>
        <v>98.4</v>
      </c>
    </row>
    <row r="78" spans="1:15" ht="24.75" customHeight="1">
      <c r="A78" s="858"/>
      <c r="B78" s="238" t="s">
        <v>153</v>
      </c>
      <c r="C78" s="267" t="s">
        <v>154</v>
      </c>
      <c r="D78" s="260">
        <v>160322</v>
      </c>
      <c r="E78" s="260">
        <v>140963</v>
      </c>
      <c r="F78" s="260">
        <v>1031084</v>
      </c>
      <c r="G78" s="260">
        <v>984100</v>
      </c>
      <c r="H78" s="268">
        <v>971213</v>
      </c>
      <c r="I78" s="260">
        <v>394</v>
      </c>
      <c r="J78" s="260">
        <v>103</v>
      </c>
      <c r="K78" s="269">
        <f t="shared" si="33"/>
        <v>6431</v>
      </c>
      <c r="L78" s="261">
        <f>ROUND((E78/147568)*100,1)</f>
        <v>95.5</v>
      </c>
      <c r="M78" s="261">
        <f>ROUND((G78/1095112)*100,1)</f>
        <v>89.9</v>
      </c>
      <c r="N78" s="261">
        <f>ROUND((H78/1110635)*100,1)</f>
        <v>87.4</v>
      </c>
      <c r="O78" s="262">
        <f>ROUND((J78/144)*100,1)</f>
        <v>71.5</v>
      </c>
    </row>
    <row r="79" spans="1:15" ht="24.75" customHeight="1">
      <c r="A79" s="858"/>
      <c r="B79" s="238"/>
      <c r="C79" s="270" t="s">
        <v>80</v>
      </c>
      <c r="D79" s="254">
        <v>575863</v>
      </c>
      <c r="E79" s="254">
        <v>497976</v>
      </c>
      <c r="F79" s="254">
        <v>3205709</v>
      </c>
      <c r="G79" s="254">
        <v>3063670</v>
      </c>
      <c r="H79" s="271">
        <v>4407046</v>
      </c>
      <c r="I79" s="254">
        <v>15726</v>
      </c>
      <c r="J79" s="254">
        <v>13171</v>
      </c>
      <c r="K79" s="254">
        <f t="shared" si="33"/>
        <v>5567</v>
      </c>
      <c r="L79" s="261">
        <f>ROUND((E79/507128)*100,1)</f>
        <v>98.2</v>
      </c>
      <c r="M79" s="261">
        <f>ROUND((G79/3342366)*100,1)</f>
        <v>91.7</v>
      </c>
      <c r="N79" s="256">
        <f>ROUND((H79/3465462)*100,1)</f>
        <v>127.2</v>
      </c>
      <c r="O79" s="257">
        <f>ROUND((J79/13414)*100,1)</f>
        <v>98.2</v>
      </c>
    </row>
    <row r="80" spans="1:15" ht="24.75" customHeight="1">
      <c r="A80" s="858"/>
      <c r="B80" s="241"/>
      <c r="C80" s="237" t="s">
        <v>3</v>
      </c>
      <c r="D80" s="272">
        <f aca="true" t="shared" si="34" ref="D80:J80">SUM(D73:D79)</f>
        <v>12955897</v>
      </c>
      <c r="E80" s="272">
        <f t="shared" si="34"/>
        <v>12604423</v>
      </c>
      <c r="F80" s="272">
        <f t="shared" si="34"/>
        <v>311125573</v>
      </c>
      <c r="G80" s="272">
        <f t="shared" si="34"/>
        <v>309713903</v>
      </c>
      <c r="H80" s="273">
        <f t="shared" si="34"/>
        <v>310770130</v>
      </c>
      <c r="I80" s="272">
        <f t="shared" si="34"/>
        <v>116219</v>
      </c>
      <c r="J80" s="272">
        <f t="shared" si="34"/>
        <v>109476</v>
      </c>
      <c r="K80" s="272">
        <f t="shared" si="33"/>
        <v>24014</v>
      </c>
      <c r="L80" s="274">
        <f>ROUND((E80/E70)*100,1)</f>
        <v>100.6</v>
      </c>
      <c r="M80" s="274">
        <f>ROUND((G80/G70)*100,1)</f>
        <v>93.7</v>
      </c>
      <c r="N80" s="274">
        <f>ROUND((H80/H70)*100,1)</f>
        <v>93.9</v>
      </c>
      <c r="O80" s="275">
        <f>ROUND((J80/J70)*100,1)</f>
        <v>100.2</v>
      </c>
    </row>
    <row r="81" spans="1:15" ht="24.75" customHeight="1">
      <c r="A81" s="858"/>
      <c r="B81" s="244"/>
      <c r="C81" s="276" t="s">
        <v>155</v>
      </c>
      <c r="D81" s="266">
        <v>3505485</v>
      </c>
      <c r="E81" s="266">
        <v>3307943</v>
      </c>
      <c r="F81" s="266">
        <v>181561131</v>
      </c>
      <c r="G81" s="266">
        <v>171704448</v>
      </c>
      <c r="H81" s="266">
        <v>163718399</v>
      </c>
      <c r="I81" s="266">
        <v>6084</v>
      </c>
      <c r="J81" s="266">
        <v>5717</v>
      </c>
      <c r="K81" s="266">
        <f t="shared" si="33"/>
        <v>51793</v>
      </c>
      <c r="L81" s="261">
        <f>ROUND((E81/3509455)*100,1)</f>
        <v>94.3</v>
      </c>
      <c r="M81" s="261">
        <f>ROUND((G81/185648016)*100,1)</f>
        <v>92.5</v>
      </c>
      <c r="N81" s="258">
        <f>ROUND((H81/183455206)*100,1)</f>
        <v>89.2</v>
      </c>
      <c r="O81" s="259">
        <f>ROUND((J81/6157)*100,1)</f>
        <v>92.9</v>
      </c>
    </row>
    <row r="82" spans="1:15" ht="24.75" customHeight="1">
      <c r="A82" s="858"/>
      <c r="B82" s="238" t="s">
        <v>156</v>
      </c>
      <c r="C82" s="277" t="s">
        <v>157</v>
      </c>
      <c r="D82" s="268">
        <v>8099517</v>
      </c>
      <c r="E82" s="268">
        <v>8015923</v>
      </c>
      <c r="F82" s="268">
        <v>333503319</v>
      </c>
      <c r="G82" s="268">
        <v>330768857</v>
      </c>
      <c r="H82" s="268">
        <v>307275133</v>
      </c>
      <c r="I82" s="268">
        <v>31745</v>
      </c>
      <c r="J82" s="268">
        <v>31458</v>
      </c>
      <c r="K82" s="268">
        <f t="shared" si="33"/>
        <v>41176</v>
      </c>
      <c r="L82" s="261">
        <f>ROUND((E82/8048723)*100,1)</f>
        <v>99.6</v>
      </c>
      <c r="M82" s="261">
        <f>ROUND((G82/338227604)*100,1)</f>
        <v>97.8</v>
      </c>
      <c r="N82" s="261">
        <f>ROUND((H82/338229871)*100,1)</f>
        <v>90.8</v>
      </c>
      <c r="O82" s="262">
        <f>ROUND((J82/31284)*100,1)</f>
        <v>100.6</v>
      </c>
    </row>
    <row r="83" spans="1:15" ht="24.75" customHeight="1">
      <c r="A83" s="858"/>
      <c r="B83" s="238" t="s">
        <v>158</v>
      </c>
      <c r="C83" s="277" t="s">
        <v>159</v>
      </c>
      <c r="D83" s="268">
        <v>641395</v>
      </c>
      <c r="E83" s="268">
        <v>582024</v>
      </c>
      <c r="F83" s="268">
        <v>44379715</v>
      </c>
      <c r="G83" s="268">
        <v>39885580</v>
      </c>
      <c r="H83" s="268">
        <v>39608255</v>
      </c>
      <c r="I83" s="268">
        <v>346</v>
      </c>
      <c r="J83" s="268">
        <v>319</v>
      </c>
      <c r="K83" s="268">
        <f t="shared" si="33"/>
        <v>69192</v>
      </c>
      <c r="L83" s="261">
        <f>ROUND((E83/642248)*100,1)</f>
        <v>90.6</v>
      </c>
      <c r="M83" s="261">
        <f>ROUND((G83/45857444)*100,1)</f>
        <v>87</v>
      </c>
      <c r="N83" s="261">
        <f>ROUND((H83/45857444)*100,1)</f>
        <v>86.4</v>
      </c>
      <c r="O83" s="262">
        <f>ROUND((J83/344)*100,1)</f>
        <v>92.7</v>
      </c>
    </row>
    <row r="84" spans="1:15" ht="24.75" customHeight="1">
      <c r="A84" s="858"/>
      <c r="B84" s="238" t="s">
        <v>153</v>
      </c>
      <c r="C84" s="277" t="s">
        <v>160</v>
      </c>
      <c r="D84" s="268">
        <v>2235463</v>
      </c>
      <c r="E84" s="268">
        <v>2083981</v>
      </c>
      <c r="F84" s="268">
        <v>42266241</v>
      </c>
      <c r="G84" s="268">
        <v>39813204</v>
      </c>
      <c r="H84" s="268">
        <v>37095450</v>
      </c>
      <c r="I84" s="268">
        <v>4340</v>
      </c>
      <c r="J84" s="268">
        <v>4057</v>
      </c>
      <c r="K84" s="268">
        <f t="shared" si="33"/>
        <v>18907</v>
      </c>
      <c r="L84" s="261">
        <f>ROUND((E84/2237056)*100,1)</f>
        <v>93.2</v>
      </c>
      <c r="M84" s="261">
        <f>ROUND((G84/42781193)*100,1)</f>
        <v>93.1</v>
      </c>
      <c r="N84" s="261">
        <f>ROUND((H84/42783968)*100,1)</f>
        <v>86.7</v>
      </c>
      <c r="O84" s="262">
        <f>ROUND((J84/4321)*100,1)</f>
        <v>93.9</v>
      </c>
    </row>
    <row r="85" spans="1:15" ht="24.75" customHeight="1">
      <c r="A85" s="858"/>
      <c r="B85" s="238"/>
      <c r="C85" s="278" t="s">
        <v>80</v>
      </c>
      <c r="D85" s="271">
        <v>1372045</v>
      </c>
      <c r="E85" s="271">
        <v>1301270</v>
      </c>
      <c r="F85" s="271">
        <v>21396158</v>
      </c>
      <c r="G85" s="271">
        <v>20713943</v>
      </c>
      <c r="H85" s="271">
        <v>20187279</v>
      </c>
      <c r="I85" s="271">
        <v>16039</v>
      </c>
      <c r="J85" s="271">
        <v>14651</v>
      </c>
      <c r="K85" s="271">
        <f t="shared" si="33"/>
        <v>15594</v>
      </c>
      <c r="L85" s="261">
        <f>ROUND((E85/1340509)*100,1)</f>
        <v>97.1</v>
      </c>
      <c r="M85" s="261">
        <f>ROUND((G85/21910198)*100,1)</f>
        <v>94.5</v>
      </c>
      <c r="N85" s="256">
        <f>ROUND((H85/22014096)*100,1)</f>
        <v>91.7</v>
      </c>
      <c r="O85" s="257">
        <f>ROUND((J85/14776)*100,1)</f>
        <v>99.2</v>
      </c>
    </row>
    <row r="86" spans="1:15" ht="24.75" customHeight="1">
      <c r="A86" s="858"/>
      <c r="B86" s="238"/>
      <c r="C86" s="244" t="s">
        <v>3</v>
      </c>
      <c r="D86" s="272">
        <f aca="true" t="shared" si="35" ref="D86:J86">SUM(D81:D85)</f>
        <v>15853905</v>
      </c>
      <c r="E86" s="272">
        <f t="shared" si="35"/>
        <v>15291141</v>
      </c>
      <c r="F86" s="272">
        <f t="shared" si="35"/>
        <v>623106564</v>
      </c>
      <c r="G86" s="272">
        <f t="shared" si="35"/>
        <v>602886032</v>
      </c>
      <c r="H86" s="272">
        <f t="shared" si="35"/>
        <v>567884516</v>
      </c>
      <c r="I86" s="272">
        <f t="shared" si="35"/>
        <v>58554</v>
      </c>
      <c r="J86" s="272">
        <f t="shared" si="35"/>
        <v>56202</v>
      </c>
      <c r="K86" s="272">
        <f t="shared" si="33"/>
        <v>39303</v>
      </c>
      <c r="L86" s="263">
        <f>ROUND((E86/E71)*100,1)</f>
        <v>96.9</v>
      </c>
      <c r="M86" s="263">
        <f>ROUND((G86/G71)*100,1)</f>
        <v>95</v>
      </c>
      <c r="N86" s="263">
        <f>ROUND((H86/H71)*100,1)</f>
        <v>89.8</v>
      </c>
      <c r="O86" s="264">
        <f>ROUND((J86/J71)*100,1)</f>
        <v>98.8</v>
      </c>
    </row>
    <row r="87" spans="1:15" ht="24.75" customHeight="1" thickBot="1">
      <c r="A87" s="859"/>
      <c r="B87" s="860" t="s">
        <v>55</v>
      </c>
      <c r="C87" s="861"/>
      <c r="D87" s="279">
        <f>D80+D86</f>
        <v>28809802</v>
      </c>
      <c r="E87" s="279">
        <f aca="true" t="shared" si="36" ref="E87:J87">E80+E86</f>
        <v>27895564</v>
      </c>
      <c r="F87" s="279">
        <f t="shared" si="36"/>
        <v>934232137</v>
      </c>
      <c r="G87" s="279">
        <f t="shared" si="36"/>
        <v>912599935</v>
      </c>
      <c r="H87" s="279">
        <f t="shared" si="36"/>
        <v>878654646</v>
      </c>
      <c r="I87" s="279">
        <f t="shared" si="36"/>
        <v>174773</v>
      </c>
      <c r="J87" s="279">
        <f t="shared" si="36"/>
        <v>165678</v>
      </c>
      <c r="K87" s="279">
        <f>ROUND((F87*1000)/D87,0)</f>
        <v>32428</v>
      </c>
      <c r="L87" s="280">
        <f>ROUND((E87/E72)*100,1)</f>
        <v>98.6</v>
      </c>
      <c r="M87" s="280">
        <f>ROUND((G87/G72)*100,1)</f>
        <v>94.6</v>
      </c>
      <c r="N87" s="280">
        <f>ROUND((H87/H72)*100,1)</f>
        <v>91.2</v>
      </c>
      <c r="O87" s="281">
        <f>ROUND((J87/J72)*100,1)</f>
        <v>99.8</v>
      </c>
    </row>
    <row r="88" spans="1:15" ht="17.25" customHeight="1">
      <c r="A88" s="232" t="s">
        <v>161</v>
      </c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</row>
    <row r="89" spans="4:15" ht="17.25" customHeight="1">
      <c r="D89" s="282"/>
      <c r="E89" s="282"/>
      <c r="F89" s="282"/>
      <c r="G89" s="282"/>
      <c r="H89" s="282"/>
      <c r="I89" s="283"/>
      <c r="J89" s="282"/>
      <c r="K89" s="282"/>
      <c r="L89" s="282"/>
      <c r="M89" s="282"/>
      <c r="N89" s="282"/>
      <c r="O89" s="282"/>
    </row>
    <row r="90" spans="4:15" ht="17.25" customHeight="1"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</row>
    <row r="91" spans="4:15" ht="17.25" customHeight="1"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</row>
    <row r="92" spans="4:15" ht="17.25" customHeight="1"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</row>
    <row r="93" spans="4:15" ht="17.25" customHeight="1"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</row>
    <row r="94" spans="4:15" ht="17.25" customHeight="1"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</row>
    <row r="95" spans="4:15" ht="17.25" customHeight="1"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</row>
    <row r="96" spans="4:15" ht="17.25" customHeight="1"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</row>
    <row r="97" spans="6:15" ht="17.25" customHeight="1">
      <c r="F97" s="282"/>
      <c r="G97" s="282"/>
      <c r="H97" s="282"/>
      <c r="I97" s="282"/>
      <c r="J97" s="282"/>
      <c r="K97" s="282"/>
      <c r="L97" s="282"/>
      <c r="M97" s="282"/>
      <c r="N97" s="282"/>
      <c r="O97" s="282"/>
    </row>
    <row r="98" spans="6:15" ht="17.25" customHeight="1">
      <c r="F98" s="282"/>
      <c r="G98" s="282"/>
      <c r="H98" s="282"/>
      <c r="I98" s="282"/>
      <c r="J98" s="282"/>
      <c r="K98" s="282"/>
      <c r="L98" s="282"/>
      <c r="M98" s="282"/>
      <c r="N98" s="282"/>
      <c r="O98" s="282"/>
    </row>
  </sheetData>
  <sheetProtection/>
  <mergeCells count="104">
    <mergeCell ref="A73:A87"/>
    <mergeCell ref="B87:C87"/>
    <mergeCell ref="A67:A69"/>
    <mergeCell ref="B67:C67"/>
    <mergeCell ref="B68:C68"/>
    <mergeCell ref="B69:C69"/>
    <mergeCell ref="A70:A72"/>
    <mergeCell ref="B70:C70"/>
    <mergeCell ref="B71:C71"/>
    <mergeCell ref="B72:C72"/>
    <mergeCell ref="A61:A63"/>
    <mergeCell ref="B61:C61"/>
    <mergeCell ref="B62:C62"/>
    <mergeCell ref="B63:C63"/>
    <mergeCell ref="A64:A66"/>
    <mergeCell ref="B64:C64"/>
    <mergeCell ref="B65:C65"/>
    <mergeCell ref="B66:C66"/>
    <mergeCell ref="A55:A57"/>
    <mergeCell ref="B55:C55"/>
    <mergeCell ref="B56:C56"/>
    <mergeCell ref="B57:C57"/>
    <mergeCell ref="A58:A60"/>
    <mergeCell ref="B58:C58"/>
    <mergeCell ref="B59:C59"/>
    <mergeCell ref="B60:C60"/>
    <mergeCell ref="A49:A51"/>
    <mergeCell ref="B49:C49"/>
    <mergeCell ref="B50:C50"/>
    <mergeCell ref="B51:C51"/>
    <mergeCell ref="A52:A54"/>
    <mergeCell ref="B52:C52"/>
    <mergeCell ref="B53:C53"/>
    <mergeCell ref="B54:C54"/>
    <mergeCell ref="A43:A45"/>
    <mergeCell ref="B43:C43"/>
    <mergeCell ref="B44:C44"/>
    <mergeCell ref="B45:C45"/>
    <mergeCell ref="A46:A48"/>
    <mergeCell ref="B46:C46"/>
    <mergeCell ref="B47:C47"/>
    <mergeCell ref="B48:C48"/>
    <mergeCell ref="A37:A39"/>
    <mergeCell ref="B37:C37"/>
    <mergeCell ref="B38:C38"/>
    <mergeCell ref="B39:C39"/>
    <mergeCell ref="A40:A42"/>
    <mergeCell ref="B40:C40"/>
    <mergeCell ref="B41:C41"/>
    <mergeCell ref="B42:C42"/>
    <mergeCell ref="A31:A33"/>
    <mergeCell ref="B31:C31"/>
    <mergeCell ref="B32:C32"/>
    <mergeCell ref="B33:C33"/>
    <mergeCell ref="A34:A36"/>
    <mergeCell ref="B34:C34"/>
    <mergeCell ref="B35:C35"/>
    <mergeCell ref="B36:C36"/>
    <mergeCell ref="A25:A27"/>
    <mergeCell ref="B25:C25"/>
    <mergeCell ref="B26:C26"/>
    <mergeCell ref="B27:C27"/>
    <mergeCell ref="A28:A30"/>
    <mergeCell ref="B28:C28"/>
    <mergeCell ref="B29:C29"/>
    <mergeCell ref="B30:C30"/>
    <mergeCell ref="A19:A21"/>
    <mergeCell ref="B19:C19"/>
    <mergeCell ref="B20:C20"/>
    <mergeCell ref="B21:C21"/>
    <mergeCell ref="A22:A24"/>
    <mergeCell ref="B22:C22"/>
    <mergeCell ref="B23:C23"/>
    <mergeCell ref="B24:C24"/>
    <mergeCell ref="A13:A15"/>
    <mergeCell ref="B13:C13"/>
    <mergeCell ref="B14:C14"/>
    <mergeCell ref="B15:C15"/>
    <mergeCell ref="A16:A18"/>
    <mergeCell ref="B16:C16"/>
    <mergeCell ref="B17:C17"/>
    <mergeCell ref="B18:C18"/>
    <mergeCell ref="D4:E4"/>
    <mergeCell ref="F4:G4"/>
    <mergeCell ref="A10:A12"/>
    <mergeCell ref="B10:C10"/>
    <mergeCell ref="B11:C11"/>
    <mergeCell ref="B12:C12"/>
    <mergeCell ref="A7:A9"/>
    <mergeCell ref="B7:C7"/>
    <mergeCell ref="B8:C8"/>
    <mergeCell ref="B9:C9"/>
    <mergeCell ref="A4:A6"/>
    <mergeCell ref="B4:C6"/>
    <mergeCell ref="I4:J4"/>
    <mergeCell ref="L4:O4"/>
    <mergeCell ref="D5:D6"/>
    <mergeCell ref="E5:E6"/>
    <mergeCell ref="F5:F6"/>
    <mergeCell ref="G5:G6"/>
    <mergeCell ref="I5:I6"/>
    <mergeCell ref="J5:J6"/>
    <mergeCell ref="K5:K6"/>
    <mergeCell ref="N5:N6"/>
  </mergeCells>
  <printOptions horizontalCentered="1"/>
  <pageMargins left="0.3937007874015748" right="0.4724409448818898" top="0.3937007874015748" bottom="0.1968503937007874" header="0.5905511811023623" footer="0.1968503937007874"/>
  <pageSetup horizontalDpi="600" verticalDpi="600" orientation="portrait" paperSize="9" scale="97" r:id="rId1"/>
  <headerFooter alignWithMargins="0">
    <oddFooter>&amp;C&amp;14- &amp;P+45 -</oddFooter>
  </headerFooter>
  <colBreaks count="1" manualBreakCount="1">
    <brk id="8" max="8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09"/>
  <sheetViews>
    <sheetView showGridLines="0" view="pageBreakPreview" zoomScaleSheetLayoutView="100" zoomScalePageLayoutView="0" workbookViewId="0" topLeftCell="A1">
      <pane xSplit="2" ySplit="64" topLeftCell="C65" activePane="bottomRight" state="frozen"/>
      <selection pane="topLeft" activeCell="A1" sqref="A1"/>
      <selection pane="topRight" activeCell="C1" sqref="C1"/>
      <selection pane="bottomLeft" activeCell="A65" sqref="A65"/>
      <selection pane="bottomRight" activeCell="H87" sqref="H87"/>
    </sheetView>
  </sheetViews>
  <sheetFormatPr defaultColWidth="13.50390625" defaultRowHeight="18.75" customHeight="1"/>
  <cols>
    <col min="1" max="1" width="17.625" style="285" customWidth="1"/>
    <col min="2" max="4" width="13.50390625" style="285" customWidth="1"/>
    <col min="5" max="6" width="11.625" style="285" customWidth="1"/>
    <col min="7" max="16384" width="13.50390625" style="285" customWidth="1"/>
  </cols>
  <sheetData>
    <row r="1" ht="27" customHeight="1">
      <c r="A1" s="284" t="s">
        <v>162</v>
      </c>
    </row>
    <row r="2" spans="1:6" ht="27" customHeight="1" thickBot="1">
      <c r="A2" s="286"/>
      <c r="F2" s="287" t="s">
        <v>163</v>
      </c>
    </row>
    <row r="3" spans="1:6" ht="18.75" customHeight="1">
      <c r="A3" s="862" t="s">
        <v>59</v>
      </c>
      <c r="B3" s="864" t="s">
        <v>14</v>
      </c>
      <c r="C3" s="864" t="s">
        <v>164</v>
      </c>
      <c r="D3" s="864" t="s">
        <v>74</v>
      </c>
      <c r="E3" s="864" t="s">
        <v>66</v>
      </c>
      <c r="F3" s="866"/>
    </row>
    <row r="4" spans="1:6" ht="18" customHeight="1">
      <c r="A4" s="863"/>
      <c r="B4" s="865"/>
      <c r="C4" s="865"/>
      <c r="D4" s="865"/>
      <c r="E4" s="288" t="s">
        <v>164</v>
      </c>
      <c r="F4" s="289" t="s">
        <v>74</v>
      </c>
    </row>
    <row r="5" spans="1:6" ht="18.75" customHeight="1" hidden="1">
      <c r="A5" s="863" t="s">
        <v>78</v>
      </c>
      <c r="B5" s="290" t="s">
        <v>165</v>
      </c>
      <c r="C5" s="291">
        <v>140905799</v>
      </c>
      <c r="D5" s="291">
        <v>139904905</v>
      </c>
      <c r="E5" s="292">
        <v>99.5</v>
      </c>
      <c r="F5" s="293">
        <v>99.7</v>
      </c>
    </row>
    <row r="6" spans="1:6" ht="18.75" customHeight="1" hidden="1">
      <c r="A6" s="863"/>
      <c r="B6" s="294" t="s">
        <v>166</v>
      </c>
      <c r="C6" s="295">
        <v>78553414</v>
      </c>
      <c r="D6" s="295">
        <v>70619530</v>
      </c>
      <c r="E6" s="296">
        <v>98.5</v>
      </c>
      <c r="F6" s="297">
        <v>99.8</v>
      </c>
    </row>
    <row r="7" spans="1:6" ht="18.75" customHeight="1" hidden="1">
      <c r="A7" s="863"/>
      <c r="B7" s="298" t="s">
        <v>167</v>
      </c>
      <c r="C7" s="299">
        <v>6226733</v>
      </c>
      <c r="D7" s="299">
        <v>3467282</v>
      </c>
      <c r="E7" s="300">
        <v>99.2</v>
      </c>
      <c r="F7" s="301">
        <v>101.1</v>
      </c>
    </row>
    <row r="8" spans="1:6" ht="19.5" customHeight="1" hidden="1">
      <c r="A8" s="863"/>
      <c r="B8" s="288" t="s">
        <v>3</v>
      </c>
      <c r="C8" s="302">
        <f>SUM(C5:C7)</f>
        <v>225685946</v>
      </c>
      <c r="D8" s="302">
        <f>SUM(D5:D7)</f>
        <v>213991717</v>
      </c>
      <c r="E8" s="303">
        <v>99.2</v>
      </c>
      <c r="F8" s="304">
        <v>99.7</v>
      </c>
    </row>
    <row r="9" spans="1:6" ht="21" customHeight="1" hidden="1">
      <c r="A9" s="863" t="s">
        <v>81</v>
      </c>
      <c r="B9" s="290" t="s">
        <v>165</v>
      </c>
      <c r="C9" s="291">
        <v>137502250</v>
      </c>
      <c r="D9" s="291">
        <v>136538750</v>
      </c>
      <c r="E9" s="292">
        <f aca="true" t="shared" si="0" ref="E9:F24">ROUND((C9/C5)*100,1)</f>
        <v>97.6</v>
      </c>
      <c r="F9" s="293">
        <f t="shared" si="0"/>
        <v>97.6</v>
      </c>
    </row>
    <row r="10" spans="1:6" ht="18.75" customHeight="1" hidden="1">
      <c r="A10" s="863"/>
      <c r="B10" s="294" t="s">
        <v>166</v>
      </c>
      <c r="C10" s="295">
        <v>77299823</v>
      </c>
      <c r="D10" s="295">
        <v>70330795</v>
      </c>
      <c r="E10" s="296">
        <f t="shared" si="0"/>
        <v>98.4</v>
      </c>
      <c r="F10" s="297">
        <f t="shared" si="0"/>
        <v>99.6</v>
      </c>
    </row>
    <row r="11" spans="1:6" ht="18.75" customHeight="1" hidden="1">
      <c r="A11" s="863"/>
      <c r="B11" s="298" t="s">
        <v>167</v>
      </c>
      <c r="C11" s="299">
        <v>6216463</v>
      </c>
      <c r="D11" s="299">
        <v>3594469</v>
      </c>
      <c r="E11" s="300">
        <f t="shared" si="0"/>
        <v>99.8</v>
      </c>
      <c r="F11" s="301">
        <f t="shared" si="0"/>
        <v>103.7</v>
      </c>
    </row>
    <row r="12" spans="1:6" ht="18.75" customHeight="1" hidden="1">
      <c r="A12" s="863"/>
      <c r="B12" s="288" t="s">
        <v>3</v>
      </c>
      <c r="C12" s="302">
        <f>SUM(C9:C11)</f>
        <v>221018536</v>
      </c>
      <c r="D12" s="302">
        <f>SUM(D9:D11)</f>
        <v>210464014</v>
      </c>
      <c r="E12" s="303">
        <f t="shared" si="0"/>
        <v>97.9</v>
      </c>
      <c r="F12" s="304">
        <f t="shared" si="0"/>
        <v>98.4</v>
      </c>
    </row>
    <row r="13" spans="1:6" ht="18.75" customHeight="1" hidden="1">
      <c r="A13" s="863" t="s">
        <v>82</v>
      </c>
      <c r="B13" s="290" t="s">
        <v>165</v>
      </c>
      <c r="C13" s="291">
        <v>135137917</v>
      </c>
      <c r="D13" s="291">
        <v>134128204</v>
      </c>
      <c r="E13" s="292">
        <f t="shared" si="0"/>
        <v>98.3</v>
      </c>
      <c r="F13" s="293">
        <f t="shared" si="0"/>
        <v>98.2</v>
      </c>
    </row>
    <row r="14" spans="1:6" ht="18.75" customHeight="1" hidden="1">
      <c r="A14" s="863"/>
      <c r="B14" s="294" t="s">
        <v>166</v>
      </c>
      <c r="C14" s="295">
        <v>77408173</v>
      </c>
      <c r="D14" s="295">
        <v>71101578</v>
      </c>
      <c r="E14" s="296">
        <f t="shared" si="0"/>
        <v>100.1</v>
      </c>
      <c r="F14" s="297">
        <f t="shared" si="0"/>
        <v>101.1</v>
      </c>
    </row>
    <row r="15" spans="1:6" ht="18.75" customHeight="1" hidden="1">
      <c r="A15" s="863"/>
      <c r="B15" s="298" t="s">
        <v>167</v>
      </c>
      <c r="C15" s="299">
        <v>6120859</v>
      </c>
      <c r="D15" s="299">
        <v>3648435</v>
      </c>
      <c r="E15" s="300">
        <f t="shared" si="0"/>
        <v>98.5</v>
      </c>
      <c r="F15" s="301">
        <f t="shared" si="0"/>
        <v>101.5</v>
      </c>
    </row>
    <row r="16" spans="1:6" ht="18.75" customHeight="1" hidden="1">
      <c r="A16" s="863"/>
      <c r="B16" s="288" t="s">
        <v>3</v>
      </c>
      <c r="C16" s="302">
        <f>SUM(C13:C15)</f>
        <v>218666949</v>
      </c>
      <c r="D16" s="302">
        <f>SUM(D13:D15)</f>
        <v>208878217</v>
      </c>
      <c r="E16" s="303">
        <f t="shared" si="0"/>
        <v>98.9</v>
      </c>
      <c r="F16" s="304">
        <f t="shared" si="0"/>
        <v>99.2</v>
      </c>
    </row>
    <row r="17" spans="1:6" ht="18.75" customHeight="1" hidden="1">
      <c r="A17" s="863" t="s">
        <v>83</v>
      </c>
      <c r="B17" s="290" t="s">
        <v>168</v>
      </c>
      <c r="C17" s="291">
        <v>131453440</v>
      </c>
      <c r="D17" s="291">
        <v>130559973</v>
      </c>
      <c r="E17" s="292">
        <f t="shared" si="0"/>
        <v>97.3</v>
      </c>
      <c r="F17" s="293">
        <f t="shared" si="0"/>
        <v>97.3</v>
      </c>
    </row>
    <row r="18" spans="1:6" ht="18.75" customHeight="1" hidden="1">
      <c r="A18" s="863"/>
      <c r="B18" s="294" t="s">
        <v>169</v>
      </c>
      <c r="C18" s="295">
        <v>75425876</v>
      </c>
      <c r="D18" s="295">
        <v>71251511</v>
      </c>
      <c r="E18" s="296">
        <f t="shared" si="0"/>
        <v>97.4</v>
      </c>
      <c r="F18" s="297">
        <f t="shared" si="0"/>
        <v>100.2</v>
      </c>
    </row>
    <row r="19" spans="1:6" ht="18.75" customHeight="1" hidden="1">
      <c r="A19" s="863"/>
      <c r="B19" s="298" t="s">
        <v>170</v>
      </c>
      <c r="C19" s="299">
        <v>6053219</v>
      </c>
      <c r="D19" s="299">
        <v>3720863</v>
      </c>
      <c r="E19" s="300">
        <f t="shared" si="0"/>
        <v>98.9</v>
      </c>
      <c r="F19" s="301">
        <f t="shared" si="0"/>
        <v>102</v>
      </c>
    </row>
    <row r="20" spans="1:6" ht="18.75" customHeight="1" hidden="1">
      <c r="A20" s="867"/>
      <c r="B20" s="288" t="s">
        <v>97</v>
      </c>
      <c r="C20" s="302">
        <f>SUM(C17:C19)</f>
        <v>212932535</v>
      </c>
      <c r="D20" s="302">
        <f>SUM(D17:D19)</f>
        <v>205532347</v>
      </c>
      <c r="E20" s="303">
        <f t="shared" si="0"/>
        <v>97.4</v>
      </c>
      <c r="F20" s="304">
        <f t="shared" si="0"/>
        <v>98.4</v>
      </c>
    </row>
    <row r="21" spans="1:6" ht="18.75" customHeight="1" hidden="1">
      <c r="A21" s="868" t="s">
        <v>84</v>
      </c>
      <c r="B21" s="290" t="s">
        <v>168</v>
      </c>
      <c r="C21" s="291">
        <v>130131048</v>
      </c>
      <c r="D21" s="291">
        <v>129319407</v>
      </c>
      <c r="E21" s="292">
        <f>ROUND((C21/C17)*100,1)</f>
        <v>99</v>
      </c>
      <c r="F21" s="293">
        <f t="shared" si="0"/>
        <v>99</v>
      </c>
    </row>
    <row r="22" spans="1:6" ht="18.75" customHeight="1" hidden="1">
      <c r="A22" s="869"/>
      <c r="B22" s="294" t="s">
        <v>169</v>
      </c>
      <c r="C22" s="295">
        <v>71607998</v>
      </c>
      <c r="D22" s="295">
        <v>68756055</v>
      </c>
      <c r="E22" s="296">
        <f t="shared" si="0"/>
        <v>94.9</v>
      </c>
      <c r="F22" s="297">
        <f t="shared" si="0"/>
        <v>96.5</v>
      </c>
    </row>
    <row r="23" spans="1:6" ht="18.75" customHeight="1" hidden="1">
      <c r="A23" s="869"/>
      <c r="B23" s="298" t="s">
        <v>170</v>
      </c>
      <c r="C23" s="299">
        <v>5940397</v>
      </c>
      <c r="D23" s="299">
        <v>3707121</v>
      </c>
      <c r="E23" s="300">
        <f t="shared" si="0"/>
        <v>98.1</v>
      </c>
      <c r="F23" s="301">
        <f t="shared" si="0"/>
        <v>99.6</v>
      </c>
    </row>
    <row r="24" spans="1:6" ht="18.75" customHeight="1" hidden="1">
      <c r="A24" s="870"/>
      <c r="B24" s="290" t="s">
        <v>97</v>
      </c>
      <c r="C24" s="291">
        <f>SUM(C21:C23)</f>
        <v>207679443</v>
      </c>
      <c r="D24" s="291">
        <f>SUM(D21:D23)</f>
        <v>201782583</v>
      </c>
      <c r="E24" s="292">
        <f t="shared" si="0"/>
        <v>97.5</v>
      </c>
      <c r="F24" s="293">
        <f t="shared" si="0"/>
        <v>98.2</v>
      </c>
    </row>
    <row r="25" spans="1:6" ht="18.75" customHeight="1" hidden="1">
      <c r="A25" s="871" t="s">
        <v>85</v>
      </c>
      <c r="B25" s="290" t="s">
        <v>168</v>
      </c>
      <c r="C25" s="291">
        <v>126071227</v>
      </c>
      <c r="D25" s="291">
        <v>125391461</v>
      </c>
      <c r="E25" s="292">
        <f aca="true" t="shared" si="1" ref="E25:F40">ROUND((C25/C21)*100,1)</f>
        <v>96.9</v>
      </c>
      <c r="F25" s="293">
        <f t="shared" si="1"/>
        <v>97</v>
      </c>
    </row>
    <row r="26" spans="1:6" ht="18.75" customHeight="1" hidden="1">
      <c r="A26" s="871"/>
      <c r="B26" s="294" t="s">
        <v>169</v>
      </c>
      <c r="C26" s="295">
        <v>74276869</v>
      </c>
      <c r="D26" s="295">
        <v>70172693</v>
      </c>
      <c r="E26" s="296">
        <f t="shared" si="1"/>
        <v>103.7</v>
      </c>
      <c r="F26" s="297">
        <f t="shared" si="1"/>
        <v>102.1</v>
      </c>
    </row>
    <row r="27" spans="1:6" ht="18.75" customHeight="1" hidden="1">
      <c r="A27" s="871"/>
      <c r="B27" s="298" t="s">
        <v>170</v>
      </c>
      <c r="C27" s="299">
        <v>12572</v>
      </c>
      <c r="D27" s="299">
        <v>12572</v>
      </c>
      <c r="E27" s="300">
        <f t="shared" si="1"/>
        <v>0.2</v>
      </c>
      <c r="F27" s="301">
        <f t="shared" si="1"/>
        <v>0.3</v>
      </c>
    </row>
    <row r="28" spans="1:6" ht="18.75" customHeight="1" hidden="1">
      <c r="A28" s="871"/>
      <c r="B28" s="290" t="s">
        <v>97</v>
      </c>
      <c r="C28" s="302">
        <f>SUM(C25:C27)</f>
        <v>200360668</v>
      </c>
      <c r="D28" s="302">
        <f>SUM(D25:D27)</f>
        <v>195576726</v>
      </c>
      <c r="E28" s="292">
        <f t="shared" si="1"/>
        <v>96.5</v>
      </c>
      <c r="F28" s="304">
        <f t="shared" si="1"/>
        <v>96.9</v>
      </c>
    </row>
    <row r="29" spans="1:6" ht="18.75" customHeight="1" hidden="1">
      <c r="A29" s="871" t="s">
        <v>86</v>
      </c>
      <c r="B29" s="290" t="s">
        <v>168</v>
      </c>
      <c r="C29" s="295">
        <v>124767434</v>
      </c>
      <c r="D29" s="295">
        <v>123338931</v>
      </c>
      <c r="E29" s="292">
        <f t="shared" si="1"/>
        <v>99</v>
      </c>
      <c r="F29" s="297">
        <f t="shared" si="1"/>
        <v>98.4</v>
      </c>
    </row>
    <row r="30" spans="1:6" ht="18.75" customHeight="1" hidden="1">
      <c r="A30" s="871"/>
      <c r="B30" s="294" t="s">
        <v>169</v>
      </c>
      <c r="C30" s="295">
        <v>70185536</v>
      </c>
      <c r="D30" s="295">
        <v>66681406</v>
      </c>
      <c r="E30" s="296">
        <f t="shared" si="1"/>
        <v>94.5</v>
      </c>
      <c r="F30" s="297">
        <f t="shared" si="1"/>
        <v>95</v>
      </c>
    </row>
    <row r="31" spans="1:6" ht="18.75" customHeight="1" hidden="1">
      <c r="A31" s="871"/>
      <c r="B31" s="298" t="s">
        <v>170</v>
      </c>
      <c r="C31" s="299">
        <v>11666</v>
      </c>
      <c r="D31" s="299">
        <v>11666</v>
      </c>
      <c r="E31" s="300">
        <f t="shared" si="1"/>
        <v>92.8</v>
      </c>
      <c r="F31" s="301">
        <f t="shared" si="1"/>
        <v>92.8</v>
      </c>
    </row>
    <row r="32" spans="1:6" ht="18.75" customHeight="1" hidden="1">
      <c r="A32" s="871"/>
      <c r="B32" s="288" t="s">
        <v>97</v>
      </c>
      <c r="C32" s="302">
        <f>SUM(C29:C31)</f>
        <v>194964636</v>
      </c>
      <c r="D32" s="302">
        <f>SUM(D29:D31)</f>
        <v>190032003</v>
      </c>
      <c r="E32" s="303">
        <f t="shared" si="1"/>
        <v>97.3</v>
      </c>
      <c r="F32" s="304">
        <f t="shared" si="1"/>
        <v>97.2</v>
      </c>
    </row>
    <row r="33" spans="1:6" ht="18.75" customHeight="1" hidden="1">
      <c r="A33" s="871" t="s">
        <v>87</v>
      </c>
      <c r="B33" s="290" t="s">
        <v>168</v>
      </c>
      <c r="C33" s="291">
        <v>131331896</v>
      </c>
      <c r="D33" s="291">
        <v>130061352</v>
      </c>
      <c r="E33" s="292">
        <f t="shared" si="1"/>
        <v>105.3</v>
      </c>
      <c r="F33" s="297">
        <f t="shared" si="1"/>
        <v>105.5</v>
      </c>
    </row>
    <row r="34" spans="1:6" ht="18.75" customHeight="1" hidden="1">
      <c r="A34" s="871"/>
      <c r="B34" s="294" t="s">
        <v>169</v>
      </c>
      <c r="C34" s="295">
        <v>68858709</v>
      </c>
      <c r="D34" s="295">
        <v>65582734</v>
      </c>
      <c r="E34" s="296">
        <f t="shared" si="1"/>
        <v>98.1</v>
      </c>
      <c r="F34" s="297">
        <f t="shared" si="1"/>
        <v>98.4</v>
      </c>
    </row>
    <row r="35" spans="1:6" ht="18.75" customHeight="1" hidden="1">
      <c r="A35" s="871"/>
      <c r="B35" s="298" t="s">
        <v>170</v>
      </c>
      <c r="C35" s="299">
        <v>12991</v>
      </c>
      <c r="D35" s="299">
        <v>12991</v>
      </c>
      <c r="E35" s="300">
        <f t="shared" si="1"/>
        <v>111.4</v>
      </c>
      <c r="F35" s="301">
        <f t="shared" si="1"/>
        <v>111.4</v>
      </c>
    </row>
    <row r="36" spans="1:6" ht="18.75" customHeight="1" hidden="1">
      <c r="A36" s="871"/>
      <c r="B36" s="288" t="s">
        <v>97</v>
      </c>
      <c r="C36" s="302">
        <f>SUM(C33:C35)</f>
        <v>200203596</v>
      </c>
      <c r="D36" s="302">
        <f>SUM(D33:D35)</f>
        <v>195657077</v>
      </c>
      <c r="E36" s="303">
        <f t="shared" si="1"/>
        <v>102.7</v>
      </c>
      <c r="F36" s="304">
        <f t="shared" si="1"/>
        <v>103</v>
      </c>
    </row>
    <row r="37" spans="1:6" ht="18.75" customHeight="1" hidden="1">
      <c r="A37" s="871" t="s">
        <v>88</v>
      </c>
      <c r="B37" s="290" t="s">
        <v>168</v>
      </c>
      <c r="C37" s="291">
        <v>131531094</v>
      </c>
      <c r="D37" s="291">
        <v>130407491</v>
      </c>
      <c r="E37" s="292">
        <f t="shared" si="1"/>
        <v>100.2</v>
      </c>
      <c r="F37" s="293">
        <f t="shared" si="1"/>
        <v>100.3</v>
      </c>
    </row>
    <row r="38" spans="1:6" ht="18.75" customHeight="1" hidden="1">
      <c r="A38" s="871"/>
      <c r="B38" s="294" t="s">
        <v>169</v>
      </c>
      <c r="C38" s="295">
        <v>67105495</v>
      </c>
      <c r="D38" s="295">
        <v>63929712</v>
      </c>
      <c r="E38" s="296">
        <f t="shared" si="1"/>
        <v>97.5</v>
      </c>
      <c r="F38" s="297">
        <f t="shared" si="1"/>
        <v>97.5</v>
      </c>
    </row>
    <row r="39" spans="1:6" ht="18.75" customHeight="1" hidden="1">
      <c r="A39" s="871"/>
      <c r="B39" s="298" t="s">
        <v>170</v>
      </c>
      <c r="C39" s="299">
        <v>10090</v>
      </c>
      <c r="D39" s="299">
        <v>10090</v>
      </c>
      <c r="E39" s="300">
        <f t="shared" si="1"/>
        <v>77.7</v>
      </c>
      <c r="F39" s="301">
        <f t="shared" si="1"/>
        <v>77.7</v>
      </c>
    </row>
    <row r="40" spans="1:6" ht="18.75" customHeight="1" hidden="1">
      <c r="A40" s="871"/>
      <c r="B40" s="288" t="s">
        <v>97</v>
      </c>
      <c r="C40" s="302">
        <f>SUM(C37:C39)</f>
        <v>198646679</v>
      </c>
      <c r="D40" s="302">
        <f>SUM(D37:D39)</f>
        <v>194347293</v>
      </c>
      <c r="E40" s="303">
        <f t="shared" si="1"/>
        <v>99.2</v>
      </c>
      <c r="F40" s="304">
        <f t="shared" si="1"/>
        <v>99.3</v>
      </c>
    </row>
    <row r="41" spans="1:6" ht="18.75" customHeight="1" hidden="1">
      <c r="A41" s="870" t="s">
        <v>89</v>
      </c>
      <c r="B41" s="294" t="s">
        <v>168</v>
      </c>
      <c r="C41" s="295">
        <v>128151648</v>
      </c>
      <c r="D41" s="295">
        <v>126963837</v>
      </c>
      <c r="E41" s="296">
        <f aca="true" t="shared" si="2" ref="E41:F56">ROUND((C41/C37)*100,1)</f>
        <v>97.4</v>
      </c>
      <c r="F41" s="297">
        <f>ROUND((D41/D37)*100,1)</f>
        <v>97.4</v>
      </c>
    </row>
    <row r="42" spans="1:6" ht="18.75" customHeight="1" hidden="1">
      <c r="A42" s="871"/>
      <c r="B42" s="294" t="s">
        <v>169</v>
      </c>
      <c r="C42" s="295">
        <v>66244962</v>
      </c>
      <c r="D42" s="295">
        <v>62968405</v>
      </c>
      <c r="E42" s="296">
        <f t="shared" si="2"/>
        <v>98.7</v>
      </c>
      <c r="F42" s="297">
        <f>ROUND((D42/D38)*100,1)</f>
        <v>98.5</v>
      </c>
    </row>
    <row r="43" spans="1:6" ht="18.75" customHeight="1" hidden="1">
      <c r="A43" s="871"/>
      <c r="B43" s="298" t="s">
        <v>170</v>
      </c>
      <c r="C43" s="299">
        <v>18379</v>
      </c>
      <c r="D43" s="299">
        <v>18379</v>
      </c>
      <c r="E43" s="300">
        <f t="shared" si="2"/>
        <v>182.2</v>
      </c>
      <c r="F43" s="301">
        <f t="shared" si="2"/>
        <v>182.2</v>
      </c>
    </row>
    <row r="44" spans="1:6" ht="18.75" customHeight="1" hidden="1">
      <c r="A44" s="868"/>
      <c r="B44" s="290" t="s">
        <v>97</v>
      </c>
      <c r="C44" s="291">
        <f>SUM(C41:C43)</f>
        <v>194414989</v>
      </c>
      <c r="D44" s="291">
        <f>SUM(D41:D43)</f>
        <v>189950621</v>
      </c>
      <c r="E44" s="292">
        <f t="shared" si="2"/>
        <v>97.9</v>
      </c>
      <c r="F44" s="293">
        <f t="shared" si="2"/>
        <v>97.7</v>
      </c>
    </row>
    <row r="45" spans="1:6" ht="18.75" customHeight="1" hidden="1">
      <c r="A45" s="871" t="s">
        <v>90</v>
      </c>
      <c r="B45" s="290" t="s">
        <v>168</v>
      </c>
      <c r="C45" s="291">
        <v>123143978</v>
      </c>
      <c r="D45" s="291">
        <v>121926353</v>
      </c>
      <c r="E45" s="292">
        <f t="shared" si="2"/>
        <v>96.1</v>
      </c>
      <c r="F45" s="293">
        <f t="shared" si="2"/>
        <v>96</v>
      </c>
    </row>
    <row r="46" spans="1:6" ht="18.75" customHeight="1" hidden="1">
      <c r="A46" s="871"/>
      <c r="B46" s="294" t="s">
        <v>169</v>
      </c>
      <c r="C46" s="295">
        <v>66005662</v>
      </c>
      <c r="D46" s="295">
        <v>62371381</v>
      </c>
      <c r="E46" s="296">
        <f t="shared" si="2"/>
        <v>99.6</v>
      </c>
      <c r="F46" s="297">
        <f t="shared" si="2"/>
        <v>99.1</v>
      </c>
    </row>
    <row r="47" spans="1:6" ht="18.75" customHeight="1" hidden="1">
      <c r="A47" s="871"/>
      <c r="B47" s="306" t="s">
        <v>170</v>
      </c>
      <c r="C47" s="307">
        <v>15831</v>
      </c>
      <c r="D47" s="307">
        <v>15831</v>
      </c>
      <c r="E47" s="308">
        <f t="shared" si="2"/>
        <v>86.1</v>
      </c>
      <c r="F47" s="309">
        <f t="shared" si="2"/>
        <v>86.1</v>
      </c>
    </row>
    <row r="48" spans="1:6" ht="18.75" customHeight="1" hidden="1">
      <c r="A48" s="868"/>
      <c r="B48" s="310" t="s">
        <v>97</v>
      </c>
      <c r="C48" s="311">
        <f>SUM(C45:C47)</f>
        <v>189165471</v>
      </c>
      <c r="D48" s="311">
        <f>SUM(D45:D47)</f>
        <v>184313565</v>
      </c>
      <c r="E48" s="312">
        <f t="shared" si="2"/>
        <v>97.3</v>
      </c>
      <c r="F48" s="313">
        <f t="shared" si="2"/>
        <v>97</v>
      </c>
    </row>
    <row r="49" spans="1:6" ht="18.75" customHeight="1" hidden="1">
      <c r="A49" s="871" t="s">
        <v>91</v>
      </c>
      <c r="B49" s="310" t="s">
        <v>168</v>
      </c>
      <c r="C49" s="311">
        <v>123184169</v>
      </c>
      <c r="D49" s="311">
        <v>121621834</v>
      </c>
      <c r="E49" s="312">
        <f t="shared" si="2"/>
        <v>100</v>
      </c>
      <c r="F49" s="313">
        <f t="shared" si="2"/>
        <v>99.8</v>
      </c>
    </row>
    <row r="50" spans="1:6" ht="18.75" customHeight="1" hidden="1">
      <c r="A50" s="871"/>
      <c r="B50" s="314" t="s">
        <v>169</v>
      </c>
      <c r="C50" s="315">
        <v>65575066</v>
      </c>
      <c r="D50" s="315">
        <v>61579062</v>
      </c>
      <c r="E50" s="316">
        <f t="shared" si="2"/>
        <v>99.3</v>
      </c>
      <c r="F50" s="317">
        <f t="shared" si="2"/>
        <v>98.7</v>
      </c>
    </row>
    <row r="51" spans="1:6" ht="18.75" customHeight="1" hidden="1">
      <c r="A51" s="871"/>
      <c r="B51" s="306" t="s">
        <v>170</v>
      </c>
      <c r="C51" s="307">
        <v>14376</v>
      </c>
      <c r="D51" s="307">
        <v>14376</v>
      </c>
      <c r="E51" s="308">
        <f t="shared" si="2"/>
        <v>90.8</v>
      </c>
      <c r="F51" s="309">
        <f t="shared" si="2"/>
        <v>90.8</v>
      </c>
    </row>
    <row r="52" spans="1:6" ht="18.75" customHeight="1" hidden="1">
      <c r="A52" s="871"/>
      <c r="B52" s="318" t="s">
        <v>97</v>
      </c>
      <c r="C52" s="319">
        <f>SUM(C49:C51)</f>
        <v>188773611</v>
      </c>
      <c r="D52" s="319">
        <f>SUM(D49:D51)</f>
        <v>183215272</v>
      </c>
      <c r="E52" s="320">
        <f t="shared" si="2"/>
        <v>99.8</v>
      </c>
      <c r="F52" s="321">
        <f t="shared" si="2"/>
        <v>99.4</v>
      </c>
    </row>
    <row r="53" spans="1:6" ht="18.75" customHeight="1" hidden="1">
      <c r="A53" s="871" t="s">
        <v>92</v>
      </c>
      <c r="B53" s="310" t="s">
        <v>168</v>
      </c>
      <c r="C53" s="311">
        <v>118881264</v>
      </c>
      <c r="D53" s="311">
        <v>117583056</v>
      </c>
      <c r="E53" s="312">
        <f t="shared" si="2"/>
        <v>96.5</v>
      </c>
      <c r="F53" s="313">
        <f t="shared" si="2"/>
        <v>96.7</v>
      </c>
    </row>
    <row r="54" spans="1:6" ht="18.75" customHeight="1" hidden="1">
      <c r="A54" s="871"/>
      <c r="B54" s="314" t="s">
        <v>169</v>
      </c>
      <c r="C54" s="315">
        <v>64970876</v>
      </c>
      <c r="D54" s="315">
        <v>60906716</v>
      </c>
      <c r="E54" s="316">
        <f t="shared" si="2"/>
        <v>99.1</v>
      </c>
      <c r="F54" s="317">
        <f t="shared" si="2"/>
        <v>98.9</v>
      </c>
    </row>
    <row r="55" spans="1:6" ht="18.75" customHeight="1" hidden="1">
      <c r="A55" s="871"/>
      <c r="B55" s="306" t="s">
        <v>170</v>
      </c>
      <c r="C55" s="307">
        <v>12678</v>
      </c>
      <c r="D55" s="307">
        <v>12678</v>
      </c>
      <c r="E55" s="308">
        <f t="shared" si="2"/>
        <v>88.2</v>
      </c>
      <c r="F55" s="309">
        <f t="shared" si="2"/>
        <v>88.2</v>
      </c>
    </row>
    <row r="56" spans="1:6" ht="18.75" customHeight="1" hidden="1">
      <c r="A56" s="871"/>
      <c r="B56" s="318" t="s">
        <v>97</v>
      </c>
      <c r="C56" s="319">
        <f>SUM(C53:C55)</f>
        <v>183864818</v>
      </c>
      <c r="D56" s="319">
        <f>SUM(D53:D55)</f>
        <v>178502450</v>
      </c>
      <c r="E56" s="320">
        <f t="shared" si="2"/>
        <v>97.4</v>
      </c>
      <c r="F56" s="321">
        <f t="shared" si="2"/>
        <v>97.4</v>
      </c>
    </row>
    <row r="57" spans="1:6" ht="18.75" customHeight="1" hidden="1">
      <c r="A57" s="871" t="s">
        <v>171</v>
      </c>
      <c r="B57" s="310" t="s">
        <v>168</v>
      </c>
      <c r="C57" s="311">
        <v>113862529</v>
      </c>
      <c r="D57" s="311">
        <v>112810583</v>
      </c>
      <c r="E57" s="312">
        <f aca="true" t="shared" si="3" ref="E57:F64">ROUND((C57/C53)*100,1)</f>
        <v>95.8</v>
      </c>
      <c r="F57" s="313">
        <f t="shared" si="3"/>
        <v>95.9</v>
      </c>
    </row>
    <row r="58" spans="1:6" ht="18.75" customHeight="1" hidden="1">
      <c r="A58" s="871"/>
      <c r="B58" s="314" t="s">
        <v>169</v>
      </c>
      <c r="C58" s="315">
        <v>64780346</v>
      </c>
      <c r="D58" s="315">
        <v>60871142</v>
      </c>
      <c r="E58" s="316">
        <f t="shared" si="3"/>
        <v>99.7</v>
      </c>
      <c r="F58" s="317">
        <f t="shared" si="3"/>
        <v>99.9</v>
      </c>
    </row>
    <row r="59" spans="1:6" ht="18.75" customHeight="1" hidden="1">
      <c r="A59" s="871"/>
      <c r="B59" s="306" t="s">
        <v>170</v>
      </c>
      <c r="C59" s="322" t="s">
        <v>172</v>
      </c>
      <c r="D59" s="322" t="s">
        <v>172</v>
      </c>
      <c r="E59" s="323" t="s">
        <v>173</v>
      </c>
      <c r="F59" s="324" t="s">
        <v>173</v>
      </c>
    </row>
    <row r="60" spans="1:6" ht="18.75" customHeight="1" hidden="1">
      <c r="A60" s="871"/>
      <c r="B60" s="318" t="s">
        <v>97</v>
      </c>
      <c r="C60" s="319">
        <f>SUM(C57:C59)</f>
        <v>178642875</v>
      </c>
      <c r="D60" s="319">
        <f>SUM(D57:D59)</f>
        <v>173681725</v>
      </c>
      <c r="E60" s="320">
        <f t="shared" si="3"/>
        <v>97.2</v>
      </c>
      <c r="F60" s="321">
        <f t="shared" si="3"/>
        <v>97.3</v>
      </c>
    </row>
    <row r="61" spans="1:6" ht="18.75" customHeight="1" hidden="1">
      <c r="A61" s="868" t="s">
        <v>26</v>
      </c>
      <c r="B61" s="314" t="s">
        <v>168</v>
      </c>
      <c r="C61" s="315">
        <v>114354574</v>
      </c>
      <c r="D61" s="315">
        <v>113445493</v>
      </c>
      <c r="E61" s="316">
        <f t="shared" si="3"/>
        <v>100.4</v>
      </c>
      <c r="F61" s="317">
        <f t="shared" si="3"/>
        <v>100.6</v>
      </c>
    </row>
    <row r="62" spans="1:6" ht="18.75" customHeight="1" hidden="1">
      <c r="A62" s="869"/>
      <c r="B62" s="314" t="s">
        <v>169</v>
      </c>
      <c r="C62" s="315">
        <v>63925447</v>
      </c>
      <c r="D62" s="315">
        <v>60265880</v>
      </c>
      <c r="E62" s="316">
        <f t="shared" si="3"/>
        <v>98.7</v>
      </c>
      <c r="F62" s="317">
        <f t="shared" si="3"/>
        <v>99</v>
      </c>
    </row>
    <row r="63" spans="1:6" ht="18.75" customHeight="1" hidden="1">
      <c r="A63" s="869"/>
      <c r="B63" s="306" t="s">
        <v>170</v>
      </c>
      <c r="C63" s="322" t="s">
        <v>172</v>
      </c>
      <c r="D63" s="322" t="s">
        <v>172</v>
      </c>
      <c r="E63" s="323" t="s">
        <v>173</v>
      </c>
      <c r="F63" s="324" t="s">
        <v>173</v>
      </c>
    </row>
    <row r="64" spans="1:6" ht="18.75" customHeight="1" hidden="1">
      <c r="A64" s="870"/>
      <c r="B64" s="318" t="s">
        <v>97</v>
      </c>
      <c r="C64" s="319">
        <f>SUM(C61:C63)</f>
        <v>178280021</v>
      </c>
      <c r="D64" s="319">
        <f>SUM(D61:D63)</f>
        <v>173711373</v>
      </c>
      <c r="E64" s="320">
        <f t="shared" si="3"/>
        <v>99.8</v>
      </c>
      <c r="F64" s="321">
        <f t="shared" si="3"/>
        <v>100</v>
      </c>
    </row>
    <row r="65" spans="1:6" ht="18.75" customHeight="1" hidden="1">
      <c r="A65" s="868" t="s">
        <v>139</v>
      </c>
      <c r="B65" s="310" t="s">
        <v>168</v>
      </c>
      <c r="C65" s="311">
        <v>114658590</v>
      </c>
      <c r="D65" s="311">
        <v>113588243</v>
      </c>
      <c r="E65" s="312">
        <f>ROUND((C65/C61)*100,1)</f>
        <v>100.3</v>
      </c>
      <c r="F65" s="325">
        <f>ROUND((D65/D61)*100,1)</f>
        <v>100.1</v>
      </c>
    </row>
    <row r="66" spans="1:6" ht="18.75" customHeight="1" hidden="1">
      <c r="A66" s="869"/>
      <c r="B66" s="314" t="s">
        <v>174</v>
      </c>
      <c r="C66" s="315">
        <v>62483192</v>
      </c>
      <c r="D66" s="315">
        <v>59102967</v>
      </c>
      <c r="E66" s="316">
        <f>ROUND((C66/C62)*100,1)</f>
        <v>97.7</v>
      </c>
      <c r="F66" s="325">
        <f>ROUND((D66/D62)*100,1)</f>
        <v>98.1</v>
      </c>
    </row>
    <row r="67" spans="1:6" ht="18.75" customHeight="1" hidden="1">
      <c r="A67" s="869"/>
      <c r="B67" s="314" t="s">
        <v>170</v>
      </c>
      <c r="C67" s="326" t="s">
        <v>172</v>
      </c>
      <c r="D67" s="326" t="s">
        <v>172</v>
      </c>
      <c r="E67" s="327" t="s">
        <v>172</v>
      </c>
      <c r="F67" s="328" t="s">
        <v>172</v>
      </c>
    </row>
    <row r="68" spans="1:6" ht="18.75" customHeight="1" hidden="1">
      <c r="A68" s="870"/>
      <c r="B68" s="310" t="s">
        <v>97</v>
      </c>
      <c r="C68" s="311">
        <f>SUM(C65:C67)</f>
        <v>177141782</v>
      </c>
      <c r="D68" s="311">
        <f>SUM(D65:D67)</f>
        <v>172691210</v>
      </c>
      <c r="E68" s="312">
        <f aca="true" t="shared" si="4" ref="E68:F70">ROUND((C68/C64)*100,1)</f>
        <v>99.4</v>
      </c>
      <c r="F68" s="309">
        <f t="shared" si="4"/>
        <v>99.4</v>
      </c>
    </row>
    <row r="69" spans="1:6" ht="18.75" customHeight="1" hidden="1">
      <c r="A69" s="868" t="s">
        <v>31</v>
      </c>
      <c r="B69" s="310" t="s">
        <v>168</v>
      </c>
      <c r="C69" s="311">
        <v>120545428</v>
      </c>
      <c r="D69" s="311">
        <v>118629818</v>
      </c>
      <c r="E69" s="312">
        <f t="shared" si="4"/>
        <v>105.1</v>
      </c>
      <c r="F69" s="325">
        <f t="shared" si="4"/>
        <v>104.4</v>
      </c>
    </row>
    <row r="70" spans="1:6" ht="18.75" customHeight="1" hidden="1">
      <c r="A70" s="869"/>
      <c r="B70" s="314" t="s">
        <v>174</v>
      </c>
      <c r="C70" s="315">
        <v>61793467</v>
      </c>
      <c r="D70" s="315">
        <v>58631073</v>
      </c>
      <c r="E70" s="316">
        <f t="shared" si="4"/>
        <v>98.9</v>
      </c>
      <c r="F70" s="325">
        <f t="shared" si="4"/>
        <v>99.2</v>
      </c>
    </row>
    <row r="71" spans="1:6" ht="18.75" customHeight="1" hidden="1">
      <c r="A71" s="869"/>
      <c r="B71" s="314" t="s">
        <v>170</v>
      </c>
      <c r="C71" s="326" t="s">
        <v>172</v>
      </c>
      <c r="D71" s="326" t="s">
        <v>172</v>
      </c>
      <c r="E71" s="327" t="s">
        <v>172</v>
      </c>
      <c r="F71" s="328" t="s">
        <v>172</v>
      </c>
    </row>
    <row r="72" spans="1:6" ht="18.75" customHeight="1" hidden="1">
      <c r="A72" s="870"/>
      <c r="B72" s="310" t="s">
        <v>97</v>
      </c>
      <c r="C72" s="311">
        <f>SUM(C69:C71)</f>
        <v>182338895</v>
      </c>
      <c r="D72" s="311">
        <f>SUM(D69:D71)</f>
        <v>177260891</v>
      </c>
      <c r="E72" s="312">
        <f aca="true" t="shared" si="5" ref="E72:F74">ROUND((C72/C68)*100,1)</f>
        <v>102.9</v>
      </c>
      <c r="F72" s="309">
        <f t="shared" si="5"/>
        <v>102.6</v>
      </c>
    </row>
    <row r="73" spans="1:6" ht="18.75" customHeight="1" hidden="1">
      <c r="A73" s="868" t="s">
        <v>32</v>
      </c>
      <c r="B73" s="310" t="s">
        <v>168</v>
      </c>
      <c r="C73" s="311">
        <v>126135552</v>
      </c>
      <c r="D73" s="311">
        <v>123793926</v>
      </c>
      <c r="E73" s="312">
        <f>ROUND((C73/C69)*100,1)</f>
        <v>104.6</v>
      </c>
      <c r="F73" s="325">
        <f>ROUND((D73/D69)*100,1)</f>
        <v>104.4</v>
      </c>
    </row>
    <row r="74" spans="1:6" ht="18.75" customHeight="1" hidden="1">
      <c r="A74" s="869"/>
      <c r="B74" s="314" t="s">
        <v>174</v>
      </c>
      <c r="C74" s="315">
        <v>61572187</v>
      </c>
      <c r="D74" s="315">
        <v>58401948</v>
      </c>
      <c r="E74" s="316">
        <f>ROUND((C74/C70)*100,1)</f>
        <v>99.6</v>
      </c>
      <c r="F74" s="325">
        <f t="shared" si="5"/>
        <v>99.6</v>
      </c>
    </row>
    <row r="75" spans="1:6" ht="18.75" customHeight="1" hidden="1">
      <c r="A75" s="869"/>
      <c r="B75" s="314" t="s">
        <v>170</v>
      </c>
      <c r="C75" s="326" t="s">
        <v>172</v>
      </c>
      <c r="D75" s="326" t="s">
        <v>172</v>
      </c>
      <c r="E75" s="327" t="s">
        <v>172</v>
      </c>
      <c r="F75" s="328" t="s">
        <v>172</v>
      </c>
    </row>
    <row r="76" spans="1:6" ht="18.75" customHeight="1" hidden="1">
      <c r="A76" s="870"/>
      <c r="B76" s="310" t="s">
        <v>97</v>
      </c>
      <c r="C76" s="311">
        <f>SUM(C73:C75)</f>
        <v>187707739</v>
      </c>
      <c r="D76" s="311">
        <f>SUM(D73:D75)</f>
        <v>182195874</v>
      </c>
      <c r="E76" s="312">
        <f aca="true" t="shared" si="6" ref="E76:F78">ROUND((C76/C72)*100,1)</f>
        <v>102.9</v>
      </c>
      <c r="F76" s="309">
        <f t="shared" si="6"/>
        <v>102.8</v>
      </c>
    </row>
    <row r="77" spans="1:6" ht="18.75" customHeight="1">
      <c r="A77" s="868" t="s">
        <v>35</v>
      </c>
      <c r="B77" s="310" t="s">
        <v>168</v>
      </c>
      <c r="C77" s="311">
        <v>126413946</v>
      </c>
      <c r="D77" s="311">
        <v>124297514</v>
      </c>
      <c r="E77" s="312">
        <f t="shared" si="6"/>
        <v>100.2</v>
      </c>
      <c r="F77" s="325">
        <f t="shared" si="6"/>
        <v>100.4</v>
      </c>
    </row>
    <row r="78" spans="1:6" ht="18.75" customHeight="1">
      <c r="A78" s="869"/>
      <c r="B78" s="314" t="s">
        <v>174</v>
      </c>
      <c r="C78" s="315">
        <v>63012112</v>
      </c>
      <c r="D78" s="315">
        <v>59225368</v>
      </c>
      <c r="E78" s="316">
        <f t="shared" si="6"/>
        <v>102.3</v>
      </c>
      <c r="F78" s="325">
        <f t="shared" si="6"/>
        <v>101.4</v>
      </c>
    </row>
    <row r="79" spans="1:6" ht="18.75" customHeight="1">
      <c r="A79" s="869"/>
      <c r="B79" s="306" t="s">
        <v>170</v>
      </c>
      <c r="C79" s="322" t="s">
        <v>172</v>
      </c>
      <c r="D79" s="322" t="s">
        <v>172</v>
      </c>
      <c r="E79" s="329" t="s">
        <v>172</v>
      </c>
      <c r="F79" s="330" t="s">
        <v>172</v>
      </c>
    </row>
    <row r="80" spans="1:6" ht="18.75" customHeight="1">
      <c r="A80" s="869"/>
      <c r="B80" s="314" t="s">
        <v>97</v>
      </c>
      <c r="C80" s="315">
        <f>SUM(C77:C79)</f>
        <v>189426058</v>
      </c>
      <c r="D80" s="315">
        <f>SUM(D77:D79)</f>
        <v>183522882</v>
      </c>
      <c r="E80" s="316">
        <f aca="true" t="shared" si="7" ref="E80:F82">ROUND((C80/C76)*100,1)</f>
        <v>100.9</v>
      </c>
      <c r="F80" s="325">
        <f t="shared" si="7"/>
        <v>100.7</v>
      </c>
    </row>
    <row r="81" spans="1:6" ht="18.75" customHeight="1">
      <c r="A81" s="868" t="s">
        <v>48</v>
      </c>
      <c r="B81" s="310" t="s">
        <v>168</v>
      </c>
      <c r="C81" s="311">
        <v>128269502</v>
      </c>
      <c r="D81" s="311">
        <v>126173197</v>
      </c>
      <c r="E81" s="312">
        <f>ROUND((C81/C77)*100,1)</f>
        <v>101.5</v>
      </c>
      <c r="F81" s="331">
        <f t="shared" si="7"/>
        <v>101.5</v>
      </c>
    </row>
    <row r="82" spans="1:6" ht="18.75" customHeight="1">
      <c r="A82" s="869"/>
      <c r="B82" s="314" t="s">
        <v>174</v>
      </c>
      <c r="C82" s="315">
        <v>63373639</v>
      </c>
      <c r="D82" s="315">
        <v>59057580</v>
      </c>
      <c r="E82" s="316">
        <f t="shared" si="7"/>
        <v>100.6</v>
      </c>
      <c r="F82" s="325">
        <f t="shared" si="7"/>
        <v>99.7</v>
      </c>
    </row>
    <row r="83" spans="1:6" ht="18.75" customHeight="1">
      <c r="A83" s="869"/>
      <c r="B83" s="306" t="s">
        <v>170</v>
      </c>
      <c r="C83" s="322" t="s">
        <v>172</v>
      </c>
      <c r="D83" s="322" t="s">
        <v>172</v>
      </c>
      <c r="E83" s="329" t="s">
        <v>172</v>
      </c>
      <c r="F83" s="330" t="s">
        <v>172</v>
      </c>
    </row>
    <row r="84" spans="1:6" ht="18.75" customHeight="1">
      <c r="A84" s="870"/>
      <c r="B84" s="306" t="s">
        <v>97</v>
      </c>
      <c r="C84" s="307">
        <f>SUM(C81:C83)</f>
        <v>191643141</v>
      </c>
      <c r="D84" s="307">
        <f>SUM(D81:D83)</f>
        <v>185230777</v>
      </c>
      <c r="E84" s="308">
        <f aca="true" t="shared" si="8" ref="E84:F86">ROUND((C84/C80)*100,1)</f>
        <v>101.2</v>
      </c>
      <c r="F84" s="332">
        <f>ROUND((D84/D80)*100,1)</f>
        <v>100.9</v>
      </c>
    </row>
    <row r="85" spans="1:6" ht="18.75" customHeight="1">
      <c r="A85" s="869" t="s">
        <v>144</v>
      </c>
      <c r="B85" s="314" t="s">
        <v>168</v>
      </c>
      <c r="C85" s="315">
        <v>136153610</v>
      </c>
      <c r="D85" s="315">
        <v>133118651</v>
      </c>
      <c r="E85" s="316">
        <f t="shared" si="8"/>
        <v>106.1</v>
      </c>
      <c r="F85" s="325">
        <f t="shared" si="8"/>
        <v>105.5</v>
      </c>
    </row>
    <row r="86" spans="1:6" ht="18.75" customHeight="1">
      <c r="A86" s="869"/>
      <c r="B86" s="314" t="s">
        <v>174</v>
      </c>
      <c r="C86" s="315">
        <v>62135003</v>
      </c>
      <c r="D86" s="315">
        <v>57749532</v>
      </c>
      <c r="E86" s="316">
        <f t="shared" si="8"/>
        <v>98</v>
      </c>
      <c r="F86" s="325">
        <f t="shared" si="8"/>
        <v>97.8</v>
      </c>
    </row>
    <row r="87" spans="1:6" ht="18.75" customHeight="1">
      <c r="A87" s="869"/>
      <c r="B87" s="306" t="s">
        <v>170</v>
      </c>
      <c r="C87" s="322" t="s">
        <v>172</v>
      </c>
      <c r="D87" s="322" t="s">
        <v>172</v>
      </c>
      <c r="E87" s="329" t="s">
        <v>172</v>
      </c>
      <c r="F87" s="330" t="s">
        <v>172</v>
      </c>
    </row>
    <row r="88" spans="1:6" ht="18.75" customHeight="1">
      <c r="A88" s="869"/>
      <c r="B88" s="314" t="s">
        <v>97</v>
      </c>
      <c r="C88" s="315">
        <f>SUM(C85:C87)</f>
        <v>198288613</v>
      </c>
      <c r="D88" s="315">
        <f>SUM(D85:D87)</f>
        <v>190868183</v>
      </c>
      <c r="E88" s="316">
        <f>ROUND((C88/C84)*100,1)</f>
        <v>103.5</v>
      </c>
      <c r="F88" s="325">
        <f>ROUND((D88/D84)*100,1)</f>
        <v>103</v>
      </c>
    </row>
    <row r="89" spans="1:6" ht="18.75" customHeight="1">
      <c r="A89" s="868" t="s">
        <v>39</v>
      </c>
      <c r="B89" s="310" t="s">
        <v>168</v>
      </c>
      <c r="C89" s="311">
        <v>137702850</v>
      </c>
      <c r="D89" s="311">
        <v>133200137</v>
      </c>
      <c r="E89" s="312">
        <f>ROUND((C89/C81)*100,1)</f>
        <v>107.4</v>
      </c>
      <c r="F89" s="331">
        <f>ROUND((D89/D81)*100,1)</f>
        <v>105.6</v>
      </c>
    </row>
    <row r="90" spans="1:6" ht="18.75" customHeight="1">
      <c r="A90" s="869"/>
      <c r="B90" s="314" t="s">
        <v>174</v>
      </c>
      <c r="C90" s="315">
        <v>60888088</v>
      </c>
      <c r="D90" s="315">
        <v>56733273</v>
      </c>
      <c r="E90" s="316">
        <f>ROUND((C90/C82)*100,1)</f>
        <v>96.1</v>
      </c>
      <c r="F90" s="325">
        <f>ROUND((D90/D82)*100,1)</f>
        <v>96.1</v>
      </c>
    </row>
    <row r="91" spans="1:6" ht="18.75" customHeight="1">
      <c r="A91" s="869"/>
      <c r="B91" s="306" t="s">
        <v>170</v>
      </c>
      <c r="C91" s="322" t="s">
        <v>172</v>
      </c>
      <c r="D91" s="322" t="s">
        <v>172</v>
      </c>
      <c r="E91" s="329" t="s">
        <v>172</v>
      </c>
      <c r="F91" s="330" t="s">
        <v>172</v>
      </c>
    </row>
    <row r="92" spans="1:6" ht="18.75" customHeight="1">
      <c r="A92" s="870"/>
      <c r="B92" s="306" t="s">
        <v>97</v>
      </c>
      <c r="C92" s="307">
        <f>SUM(C89:C91)</f>
        <v>198590938</v>
      </c>
      <c r="D92" s="307">
        <f>SUM(D89:D91)</f>
        <v>189933410</v>
      </c>
      <c r="E92" s="308">
        <f>ROUND((C92/C84)*100,1)</f>
        <v>103.6</v>
      </c>
      <c r="F92" s="332">
        <f>ROUND((D92/D84)*100,1)</f>
        <v>102.5</v>
      </c>
    </row>
    <row r="93" spans="1:6" ht="18.75" customHeight="1">
      <c r="A93" s="872" t="s">
        <v>42</v>
      </c>
      <c r="B93" s="314" t="s">
        <v>168</v>
      </c>
      <c r="C93" s="315">
        <v>131762430</v>
      </c>
      <c r="D93" s="315">
        <v>122011087</v>
      </c>
      <c r="E93" s="316">
        <f>ROUND((C93/C89)*100,1)</f>
        <v>95.7</v>
      </c>
      <c r="F93" s="325">
        <f>ROUND((D93/D89)*100,1)</f>
        <v>91.6</v>
      </c>
    </row>
    <row r="94" spans="1:6" ht="18.75" customHeight="1">
      <c r="A94" s="872"/>
      <c r="B94" s="314" t="s">
        <v>174</v>
      </c>
      <c r="C94" s="315">
        <v>59578407</v>
      </c>
      <c r="D94" s="315">
        <v>55690409</v>
      </c>
      <c r="E94" s="316">
        <f>ROUND((C94/C90)*100,1)</f>
        <v>97.8</v>
      </c>
      <c r="F94" s="325">
        <f>ROUND((D94/D90)*100,1)</f>
        <v>98.2</v>
      </c>
    </row>
    <row r="95" spans="1:6" ht="18.75" customHeight="1">
      <c r="A95" s="872"/>
      <c r="B95" s="306" t="s">
        <v>170</v>
      </c>
      <c r="C95" s="322" t="s">
        <v>172</v>
      </c>
      <c r="D95" s="322" t="s">
        <v>172</v>
      </c>
      <c r="E95" s="329" t="s">
        <v>172</v>
      </c>
      <c r="F95" s="330" t="s">
        <v>172</v>
      </c>
    </row>
    <row r="96" spans="1:6" ht="18.75" customHeight="1" thickBot="1">
      <c r="A96" s="873"/>
      <c r="B96" s="333" t="s">
        <v>97</v>
      </c>
      <c r="C96" s="334">
        <f>SUM(C93:C95)</f>
        <v>191340837</v>
      </c>
      <c r="D96" s="334">
        <f>SUM(D93:D95)</f>
        <v>177701496</v>
      </c>
      <c r="E96" s="335">
        <f>ROUND((C96/C92)*100,1)</f>
        <v>96.3</v>
      </c>
      <c r="F96" s="336">
        <f>ROUND((D96/D92)*100,1)</f>
        <v>93.6</v>
      </c>
    </row>
    <row r="97" spans="1:6" ht="18.75" customHeight="1">
      <c r="A97" s="285" t="s">
        <v>175</v>
      </c>
      <c r="B97" s="337"/>
      <c r="C97" s="338"/>
      <c r="D97" s="338"/>
      <c r="E97" s="339"/>
      <c r="F97" s="339"/>
    </row>
    <row r="98" spans="2:6" ht="18.75" customHeight="1">
      <c r="B98" s="337"/>
      <c r="C98" s="337"/>
      <c r="D98" s="337"/>
      <c r="E98" s="337"/>
      <c r="F98" s="337"/>
    </row>
    <row r="99" spans="1:6" ht="18.75" customHeight="1" thickBot="1">
      <c r="A99" s="340" t="s">
        <v>176</v>
      </c>
      <c r="B99" s="337"/>
      <c r="C99" s="337"/>
      <c r="D99" s="337"/>
      <c r="E99" s="337"/>
      <c r="F99" s="341" t="s">
        <v>177</v>
      </c>
    </row>
    <row r="100" spans="1:6" ht="18.75" customHeight="1">
      <c r="A100" s="862" t="s">
        <v>14</v>
      </c>
      <c r="B100" s="874" t="s">
        <v>164</v>
      </c>
      <c r="C100" s="874" t="s">
        <v>74</v>
      </c>
      <c r="D100" s="874" t="s">
        <v>178</v>
      </c>
      <c r="E100" s="874"/>
      <c r="F100" s="884"/>
    </row>
    <row r="101" spans="1:6" ht="18.75" customHeight="1">
      <c r="A101" s="867"/>
      <c r="B101" s="875"/>
      <c r="C101" s="875"/>
      <c r="D101" s="310" t="s">
        <v>179</v>
      </c>
      <c r="E101" s="875" t="s">
        <v>180</v>
      </c>
      <c r="F101" s="885"/>
    </row>
    <row r="102" spans="1:6" ht="18.75" customHeight="1">
      <c r="A102" s="305" t="s">
        <v>181</v>
      </c>
      <c r="B102" s="311">
        <v>38671925</v>
      </c>
      <c r="C102" s="311">
        <v>37079724</v>
      </c>
      <c r="D102" s="311">
        <v>1539352</v>
      </c>
      <c r="E102" s="886">
        <v>35540372</v>
      </c>
      <c r="F102" s="887"/>
    </row>
    <row r="103" spans="1:6" ht="18.75" customHeight="1">
      <c r="A103" s="342" t="s">
        <v>182</v>
      </c>
      <c r="B103" s="315">
        <v>60100922</v>
      </c>
      <c r="C103" s="315">
        <v>52909207</v>
      </c>
      <c r="D103" s="315">
        <v>3509619</v>
      </c>
      <c r="E103" s="878">
        <v>49399588</v>
      </c>
      <c r="F103" s="879"/>
    </row>
    <row r="104" spans="1:6" ht="18.75" customHeight="1">
      <c r="A104" s="342" t="s">
        <v>183</v>
      </c>
      <c r="B104" s="315">
        <v>15497</v>
      </c>
      <c r="C104" s="315">
        <v>12883</v>
      </c>
      <c r="D104" s="343">
        <v>2614</v>
      </c>
      <c r="E104" s="878">
        <v>10269</v>
      </c>
      <c r="F104" s="879"/>
    </row>
    <row r="105" spans="1:6" ht="18.75" customHeight="1">
      <c r="A105" s="342" t="s">
        <v>184</v>
      </c>
      <c r="B105" s="343" t="s">
        <v>173</v>
      </c>
      <c r="C105" s="343" t="s">
        <v>173</v>
      </c>
      <c r="D105" s="343" t="s">
        <v>173</v>
      </c>
      <c r="E105" s="876" t="s">
        <v>173</v>
      </c>
      <c r="F105" s="877"/>
    </row>
    <row r="106" spans="1:6" ht="18.75" customHeight="1">
      <c r="A106" s="342" t="s">
        <v>185</v>
      </c>
      <c r="B106" s="315">
        <v>404820</v>
      </c>
      <c r="C106" s="315">
        <v>397766</v>
      </c>
      <c r="D106" s="343">
        <v>7056</v>
      </c>
      <c r="E106" s="878">
        <v>390710</v>
      </c>
      <c r="F106" s="879"/>
    </row>
    <row r="107" spans="1:6" ht="18.75" customHeight="1">
      <c r="A107" s="344" t="s">
        <v>186</v>
      </c>
      <c r="B107" s="307">
        <v>32569266</v>
      </c>
      <c r="C107" s="307">
        <v>31611507</v>
      </c>
      <c r="D107" s="307">
        <v>845810</v>
      </c>
      <c r="E107" s="880">
        <v>30765697</v>
      </c>
      <c r="F107" s="881"/>
    </row>
    <row r="108" spans="1:6" ht="18.75" customHeight="1" thickBot="1">
      <c r="A108" s="345" t="s">
        <v>3</v>
      </c>
      <c r="B108" s="334">
        <f>SUM(B102:B107)</f>
        <v>131762430</v>
      </c>
      <c r="C108" s="334">
        <f>SUM(C102:C107)</f>
        <v>122011087</v>
      </c>
      <c r="D108" s="334">
        <f>SUM(D102:D107)</f>
        <v>5904451</v>
      </c>
      <c r="E108" s="882">
        <f>SUM(E102:E107)</f>
        <v>116106636</v>
      </c>
      <c r="F108" s="883">
        <f>SUM(F102:F107)</f>
        <v>0</v>
      </c>
    </row>
    <row r="109" ht="18.75" customHeight="1">
      <c r="A109" s="346"/>
    </row>
  </sheetData>
  <sheetProtection/>
  <mergeCells count="40">
    <mergeCell ref="E105:F105"/>
    <mergeCell ref="E106:F106"/>
    <mergeCell ref="E107:F107"/>
    <mergeCell ref="E108:F108"/>
    <mergeCell ref="C100:C101"/>
    <mergeCell ref="D100:F100"/>
    <mergeCell ref="E101:F101"/>
    <mergeCell ref="E102:F102"/>
    <mergeCell ref="E103:F103"/>
    <mergeCell ref="E104:F104"/>
    <mergeCell ref="A81:A84"/>
    <mergeCell ref="A85:A88"/>
    <mergeCell ref="A89:A92"/>
    <mergeCell ref="A93:A96"/>
    <mergeCell ref="A100:A101"/>
    <mergeCell ref="B100:B101"/>
    <mergeCell ref="A57:A60"/>
    <mergeCell ref="A61:A64"/>
    <mergeCell ref="A65:A68"/>
    <mergeCell ref="A69:A72"/>
    <mergeCell ref="A73:A76"/>
    <mergeCell ref="A77:A80"/>
    <mergeCell ref="A33:A36"/>
    <mergeCell ref="A37:A40"/>
    <mergeCell ref="A41:A44"/>
    <mergeCell ref="A45:A48"/>
    <mergeCell ref="A49:A52"/>
    <mergeCell ref="A53:A56"/>
    <mergeCell ref="A9:A12"/>
    <mergeCell ref="A13:A16"/>
    <mergeCell ref="A17:A20"/>
    <mergeCell ref="A21:A24"/>
    <mergeCell ref="A25:A28"/>
    <mergeCell ref="A29:A32"/>
    <mergeCell ref="A3:A4"/>
    <mergeCell ref="B3:B4"/>
    <mergeCell ref="C3:C4"/>
    <mergeCell ref="D3:D4"/>
    <mergeCell ref="E3:F3"/>
    <mergeCell ref="A5:A8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scale="110" r:id="rId1"/>
  <headerFooter alignWithMargins="0">
    <oddFooter>&amp;C&amp;14- &amp;P+47 -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2"/>
  <sheetViews>
    <sheetView showGridLines="0" view="pageBreakPreview" zoomScaleNormal="85" zoomScaleSheetLayoutView="100" zoomScalePageLayoutView="0" workbookViewId="0" topLeftCell="A1">
      <selection activeCell="S14" sqref="S14"/>
    </sheetView>
  </sheetViews>
  <sheetFormatPr defaultColWidth="12.50390625" defaultRowHeight="22.5" customHeight="1"/>
  <cols>
    <col min="1" max="1" width="23.50390625" style="143" customWidth="1"/>
    <col min="2" max="2" width="12.50390625" style="143" customWidth="1"/>
    <col min="3" max="10" width="12.50390625" style="143" hidden="1" customWidth="1"/>
    <col min="11" max="15" width="0" style="143" hidden="1" customWidth="1"/>
    <col min="16" max="16384" width="12.50390625" style="143" customWidth="1"/>
  </cols>
  <sheetData>
    <row r="1" spans="1:2" ht="23.25" customHeight="1">
      <c r="A1" s="93" t="s">
        <v>187</v>
      </c>
      <c r="B1" s="347"/>
    </row>
    <row r="2" spans="3:20" ht="23.25" customHeight="1" thickBot="1"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 t="s">
        <v>188</v>
      </c>
    </row>
    <row r="3" spans="1:20" ht="20.25" customHeight="1">
      <c r="A3" s="349" t="s">
        <v>189</v>
      </c>
      <c r="B3" s="350" t="s">
        <v>59</v>
      </c>
      <c r="C3" s="350" t="s">
        <v>85</v>
      </c>
      <c r="D3" s="350" t="s">
        <v>86</v>
      </c>
      <c r="E3" s="350" t="s">
        <v>87</v>
      </c>
      <c r="F3" s="351" t="s">
        <v>88</v>
      </c>
      <c r="G3" s="352" t="s">
        <v>89</v>
      </c>
      <c r="H3" s="352" t="s">
        <v>90</v>
      </c>
      <c r="I3" s="352" t="s">
        <v>91</v>
      </c>
      <c r="J3" s="353" t="s">
        <v>92</v>
      </c>
      <c r="K3" s="353" t="s">
        <v>171</v>
      </c>
      <c r="L3" s="354" t="s">
        <v>26</v>
      </c>
      <c r="M3" s="354" t="s">
        <v>29</v>
      </c>
      <c r="N3" s="355" t="s">
        <v>140</v>
      </c>
      <c r="O3" s="355" t="s">
        <v>32</v>
      </c>
      <c r="P3" s="356" t="s">
        <v>35</v>
      </c>
      <c r="Q3" s="357" t="s">
        <v>48</v>
      </c>
      <c r="R3" s="357" t="s">
        <v>144</v>
      </c>
      <c r="S3" s="357" t="s">
        <v>39</v>
      </c>
      <c r="T3" s="358" t="s">
        <v>42</v>
      </c>
    </row>
    <row r="4" spans="1:20" ht="20.25" customHeight="1">
      <c r="A4" s="888" t="s">
        <v>190</v>
      </c>
      <c r="B4" s="359" t="s">
        <v>191</v>
      </c>
      <c r="C4" s="360">
        <v>588167</v>
      </c>
      <c r="D4" s="360">
        <v>600041</v>
      </c>
      <c r="E4" s="360">
        <v>641371</v>
      </c>
      <c r="F4" s="361">
        <v>617789</v>
      </c>
      <c r="G4" s="362">
        <v>627755</v>
      </c>
      <c r="H4" s="362">
        <v>618923</v>
      </c>
      <c r="I4" s="362">
        <v>601729</v>
      </c>
      <c r="J4" s="363">
        <v>518313</v>
      </c>
      <c r="K4" s="363">
        <v>471050</v>
      </c>
      <c r="L4" s="364">
        <v>433011</v>
      </c>
      <c r="M4" s="364">
        <v>442387</v>
      </c>
      <c r="N4" s="365">
        <v>453148</v>
      </c>
      <c r="O4" s="365">
        <v>448909</v>
      </c>
      <c r="P4" s="133">
        <v>438287</v>
      </c>
      <c r="Q4" s="122">
        <v>441634</v>
      </c>
      <c r="R4" s="122">
        <v>455869</v>
      </c>
      <c r="S4" s="122">
        <v>469212</v>
      </c>
      <c r="T4" s="123">
        <v>476423</v>
      </c>
    </row>
    <row r="5" spans="1:20" ht="20.25" customHeight="1">
      <c r="A5" s="889"/>
      <c r="B5" s="366" t="s">
        <v>4</v>
      </c>
      <c r="C5" s="367">
        <v>100</v>
      </c>
      <c r="D5" s="367">
        <f>ROUND((D4/C4)*100,1)</f>
        <v>102</v>
      </c>
      <c r="E5" s="367">
        <f aca="true" t="shared" si="0" ref="E5:T5">ROUND((E4/D4)*100,1)</f>
        <v>106.9</v>
      </c>
      <c r="F5" s="368">
        <f t="shared" si="0"/>
        <v>96.3</v>
      </c>
      <c r="G5" s="369">
        <f t="shared" si="0"/>
        <v>101.6</v>
      </c>
      <c r="H5" s="369">
        <f t="shared" si="0"/>
        <v>98.6</v>
      </c>
      <c r="I5" s="369">
        <f t="shared" si="0"/>
        <v>97.2</v>
      </c>
      <c r="J5" s="370">
        <f t="shared" si="0"/>
        <v>86.1</v>
      </c>
      <c r="K5" s="370">
        <f t="shared" si="0"/>
        <v>90.9</v>
      </c>
      <c r="L5" s="370">
        <f t="shared" si="0"/>
        <v>91.9</v>
      </c>
      <c r="M5" s="370">
        <f t="shared" si="0"/>
        <v>102.2</v>
      </c>
      <c r="N5" s="371">
        <f t="shared" si="0"/>
        <v>102.4</v>
      </c>
      <c r="O5" s="371">
        <f t="shared" si="0"/>
        <v>99.1</v>
      </c>
      <c r="P5" s="372">
        <f t="shared" si="0"/>
        <v>97.6</v>
      </c>
      <c r="Q5" s="373">
        <f t="shared" si="0"/>
        <v>100.8</v>
      </c>
      <c r="R5" s="373">
        <f t="shared" si="0"/>
        <v>103.2</v>
      </c>
      <c r="S5" s="373">
        <f t="shared" si="0"/>
        <v>102.9</v>
      </c>
      <c r="T5" s="374">
        <f t="shared" si="0"/>
        <v>101.5</v>
      </c>
    </row>
    <row r="6" spans="1:20" ht="20.25" customHeight="1">
      <c r="A6" s="889"/>
      <c r="B6" s="366" t="s">
        <v>192</v>
      </c>
      <c r="C6" s="375">
        <v>270657</v>
      </c>
      <c r="D6" s="375">
        <v>285936</v>
      </c>
      <c r="E6" s="375">
        <v>285874</v>
      </c>
      <c r="F6" s="131">
        <v>285266</v>
      </c>
      <c r="G6" s="376">
        <v>293130</v>
      </c>
      <c r="H6" s="376">
        <v>278930</v>
      </c>
      <c r="I6" s="376">
        <v>281897</v>
      </c>
      <c r="J6" s="273">
        <v>248330</v>
      </c>
      <c r="K6" s="271">
        <v>205206</v>
      </c>
      <c r="L6" s="364">
        <v>196276</v>
      </c>
      <c r="M6" s="364">
        <v>200716</v>
      </c>
      <c r="N6" s="375">
        <v>202511</v>
      </c>
      <c r="O6" s="375">
        <v>207442</v>
      </c>
      <c r="P6" s="130">
        <v>207553</v>
      </c>
      <c r="Q6" s="131">
        <v>206194</v>
      </c>
      <c r="R6" s="131">
        <v>220246</v>
      </c>
      <c r="S6" s="131">
        <v>229755</v>
      </c>
      <c r="T6" s="132">
        <v>228687</v>
      </c>
    </row>
    <row r="7" spans="1:20" ht="20.25" customHeight="1">
      <c r="A7" s="890"/>
      <c r="B7" s="377" t="s">
        <v>4</v>
      </c>
      <c r="C7" s="378">
        <v>106.4</v>
      </c>
      <c r="D7" s="378">
        <f>ROUND((D6/C6)*100,1)</f>
        <v>105.6</v>
      </c>
      <c r="E7" s="378">
        <f aca="true" t="shared" si="1" ref="E7:T7">ROUND((E6/D6)*100,1)</f>
        <v>100</v>
      </c>
      <c r="F7" s="379">
        <f t="shared" si="1"/>
        <v>99.8</v>
      </c>
      <c r="G7" s="380">
        <f t="shared" si="1"/>
        <v>102.8</v>
      </c>
      <c r="H7" s="380">
        <f t="shared" si="1"/>
        <v>95.2</v>
      </c>
      <c r="I7" s="380">
        <f t="shared" si="1"/>
        <v>101.1</v>
      </c>
      <c r="J7" s="381">
        <f t="shared" si="1"/>
        <v>88.1</v>
      </c>
      <c r="K7" s="381">
        <f t="shared" si="1"/>
        <v>82.6</v>
      </c>
      <c r="L7" s="381">
        <f t="shared" si="1"/>
        <v>95.6</v>
      </c>
      <c r="M7" s="381">
        <f t="shared" si="1"/>
        <v>102.3</v>
      </c>
      <c r="N7" s="382">
        <f t="shared" si="1"/>
        <v>100.9</v>
      </c>
      <c r="O7" s="382">
        <f t="shared" si="1"/>
        <v>102.4</v>
      </c>
      <c r="P7" s="383">
        <f t="shared" si="1"/>
        <v>100.1</v>
      </c>
      <c r="Q7" s="384">
        <f t="shared" si="1"/>
        <v>99.3</v>
      </c>
      <c r="R7" s="384">
        <f t="shared" si="1"/>
        <v>106.8</v>
      </c>
      <c r="S7" s="384">
        <f t="shared" si="1"/>
        <v>104.3</v>
      </c>
      <c r="T7" s="385">
        <f t="shared" si="1"/>
        <v>99.5</v>
      </c>
    </row>
    <row r="8" spans="1:20" ht="20.25" customHeight="1">
      <c r="A8" s="891" t="s">
        <v>193</v>
      </c>
      <c r="B8" s="386" t="s">
        <v>191</v>
      </c>
      <c r="C8" s="360">
        <v>469393</v>
      </c>
      <c r="D8" s="360">
        <v>453894</v>
      </c>
      <c r="E8" s="360">
        <v>449865</v>
      </c>
      <c r="F8" s="361">
        <v>437065</v>
      </c>
      <c r="G8" s="362">
        <v>401811</v>
      </c>
      <c r="H8" s="362">
        <v>362708</v>
      </c>
      <c r="I8" s="362">
        <v>303714</v>
      </c>
      <c r="J8" s="363">
        <v>247280</v>
      </c>
      <c r="K8" s="363">
        <v>169549</v>
      </c>
      <c r="L8" s="364">
        <v>153237</v>
      </c>
      <c r="M8" s="364">
        <v>112811</v>
      </c>
      <c r="N8" s="365">
        <v>137898</v>
      </c>
      <c r="O8" s="365">
        <v>130132</v>
      </c>
      <c r="P8" s="133">
        <v>147933</v>
      </c>
      <c r="Q8" s="122">
        <v>124027</v>
      </c>
      <c r="R8" s="122">
        <v>123855</v>
      </c>
      <c r="S8" s="122">
        <v>123477</v>
      </c>
      <c r="T8" s="123">
        <v>167498</v>
      </c>
    </row>
    <row r="9" spans="1:20" ht="20.25" customHeight="1">
      <c r="A9" s="892"/>
      <c r="B9" s="387" t="s">
        <v>4</v>
      </c>
      <c r="C9" s="367">
        <v>95.7</v>
      </c>
      <c r="D9" s="367">
        <f>ROUND((D8/C8)*100,1)</f>
        <v>96.7</v>
      </c>
      <c r="E9" s="367">
        <f aca="true" t="shared" si="2" ref="E9:T9">ROUND((E8/D8)*100,1)</f>
        <v>99.1</v>
      </c>
      <c r="F9" s="368">
        <f t="shared" si="2"/>
        <v>97.2</v>
      </c>
      <c r="G9" s="369">
        <f t="shared" si="2"/>
        <v>91.9</v>
      </c>
      <c r="H9" s="369">
        <f t="shared" si="2"/>
        <v>90.3</v>
      </c>
      <c r="I9" s="369">
        <f t="shared" si="2"/>
        <v>83.7</v>
      </c>
      <c r="J9" s="370">
        <f t="shared" si="2"/>
        <v>81.4</v>
      </c>
      <c r="K9" s="370">
        <f t="shared" si="2"/>
        <v>68.6</v>
      </c>
      <c r="L9" s="370">
        <f t="shared" si="2"/>
        <v>90.4</v>
      </c>
      <c r="M9" s="370">
        <f t="shared" si="2"/>
        <v>73.6</v>
      </c>
      <c r="N9" s="371">
        <f t="shared" si="2"/>
        <v>122.2</v>
      </c>
      <c r="O9" s="371">
        <f t="shared" si="2"/>
        <v>94.4</v>
      </c>
      <c r="P9" s="372">
        <f t="shared" si="2"/>
        <v>113.7</v>
      </c>
      <c r="Q9" s="373">
        <f t="shared" si="2"/>
        <v>83.8</v>
      </c>
      <c r="R9" s="373">
        <f t="shared" si="2"/>
        <v>99.9</v>
      </c>
      <c r="S9" s="373">
        <f t="shared" si="2"/>
        <v>99.7</v>
      </c>
      <c r="T9" s="374">
        <f t="shared" si="2"/>
        <v>135.7</v>
      </c>
    </row>
    <row r="10" spans="1:20" ht="20.25" customHeight="1">
      <c r="A10" s="892"/>
      <c r="B10" s="387" t="s">
        <v>192</v>
      </c>
      <c r="C10" s="375">
        <v>270907</v>
      </c>
      <c r="D10" s="375">
        <v>270018</v>
      </c>
      <c r="E10" s="375">
        <v>238635</v>
      </c>
      <c r="F10" s="131">
        <v>238670</v>
      </c>
      <c r="G10" s="376">
        <v>226964</v>
      </c>
      <c r="H10" s="376">
        <v>201914</v>
      </c>
      <c r="I10" s="376">
        <v>174085</v>
      </c>
      <c r="J10" s="273">
        <v>146848</v>
      </c>
      <c r="K10" s="273">
        <v>90747</v>
      </c>
      <c r="L10" s="376">
        <v>91151</v>
      </c>
      <c r="M10" s="376">
        <v>69550</v>
      </c>
      <c r="N10" s="375">
        <v>84011</v>
      </c>
      <c r="O10" s="375">
        <v>82059</v>
      </c>
      <c r="P10" s="130">
        <v>95991</v>
      </c>
      <c r="Q10" s="131">
        <v>78697</v>
      </c>
      <c r="R10" s="131">
        <v>81039</v>
      </c>
      <c r="S10" s="131">
        <v>88404</v>
      </c>
      <c r="T10" s="132">
        <v>114545</v>
      </c>
    </row>
    <row r="11" spans="1:20" ht="20.25" customHeight="1">
      <c r="A11" s="893"/>
      <c r="B11" s="388" t="s">
        <v>4</v>
      </c>
      <c r="C11" s="378">
        <v>102.6</v>
      </c>
      <c r="D11" s="378">
        <f>ROUND((D10/C10)*100,1)</f>
        <v>99.7</v>
      </c>
      <c r="E11" s="378">
        <f aca="true" t="shared" si="3" ref="E11:T11">ROUND((E10/D10)*100,1)</f>
        <v>88.4</v>
      </c>
      <c r="F11" s="379">
        <f t="shared" si="3"/>
        <v>100</v>
      </c>
      <c r="G11" s="380">
        <f t="shared" si="3"/>
        <v>95.1</v>
      </c>
      <c r="H11" s="380">
        <f t="shared" si="3"/>
        <v>89</v>
      </c>
      <c r="I11" s="380">
        <f t="shared" si="3"/>
        <v>86.2</v>
      </c>
      <c r="J11" s="381">
        <f t="shared" si="3"/>
        <v>84.4</v>
      </c>
      <c r="K11" s="381">
        <f t="shared" si="3"/>
        <v>61.8</v>
      </c>
      <c r="L11" s="381">
        <f t="shared" si="3"/>
        <v>100.4</v>
      </c>
      <c r="M11" s="381">
        <f t="shared" si="3"/>
        <v>76.3</v>
      </c>
      <c r="N11" s="382">
        <f t="shared" si="3"/>
        <v>120.8</v>
      </c>
      <c r="O11" s="382">
        <f t="shared" si="3"/>
        <v>97.7</v>
      </c>
      <c r="P11" s="383">
        <f t="shared" si="3"/>
        <v>117</v>
      </c>
      <c r="Q11" s="384">
        <f t="shared" si="3"/>
        <v>82</v>
      </c>
      <c r="R11" s="384">
        <f t="shared" si="3"/>
        <v>103</v>
      </c>
      <c r="S11" s="384">
        <f t="shared" si="3"/>
        <v>109.1</v>
      </c>
      <c r="T11" s="385">
        <f t="shared" si="3"/>
        <v>129.6</v>
      </c>
    </row>
    <row r="12" spans="1:20" ht="20.25" customHeight="1">
      <c r="A12" s="888" t="s">
        <v>194</v>
      </c>
      <c r="B12" s="359" t="s">
        <v>191</v>
      </c>
      <c r="C12" s="360">
        <v>469393</v>
      </c>
      <c r="D12" s="360">
        <v>453894</v>
      </c>
      <c r="E12" s="360">
        <v>449865</v>
      </c>
      <c r="F12" s="389" t="s">
        <v>172</v>
      </c>
      <c r="G12" s="390" t="s">
        <v>172</v>
      </c>
      <c r="H12" s="390" t="s">
        <v>172</v>
      </c>
      <c r="I12" s="362">
        <v>9035</v>
      </c>
      <c r="J12" s="363">
        <v>62744</v>
      </c>
      <c r="K12" s="363">
        <v>126160</v>
      </c>
      <c r="L12" s="364">
        <v>178907</v>
      </c>
      <c r="M12" s="364">
        <v>243065</v>
      </c>
      <c r="N12" s="365">
        <v>300607</v>
      </c>
      <c r="O12" s="365">
        <v>310741</v>
      </c>
      <c r="P12" s="133">
        <v>308204</v>
      </c>
      <c r="Q12" s="122">
        <v>317070</v>
      </c>
      <c r="R12" s="122">
        <v>323521</v>
      </c>
      <c r="S12" s="122">
        <v>321652</v>
      </c>
      <c r="T12" s="123">
        <v>320034</v>
      </c>
    </row>
    <row r="13" spans="1:20" ht="20.25" customHeight="1">
      <c r="A13" s="889"/>
      <c r="B13" s="366" t="s">
        <v>4</v>
      </c>
      <c r="C13" s="367">
        <v>95.7</v>
      </c>
      <c r="D13" s="367">
        <f>ROUND((D12/C12)*100,1)</f>
        <v>96.7</v>
      </c>
      <c r="E13" s="367">
        <f>ROUND((E12/D12)*100,1)</f>
        <v>99.1</v>
      </c>
      <c r="F13" s="391" t="s">
        <v>172</v>
      </c>
      <c r="G13" s="392" t="s">
        <v>172</v>
      </c>
      <c r="H13" s="392" t="s">
        <v>172</v>
      </c>
      <c r="I13" s="392" t="s">
        <v>173</v>
      </c>
      <c r="J13" s="370">
        <f aca="true" t="shared" si="4" ref="J13:P13">ROUND((J12/I12)*100,1)</f>
        <v>694.5</v>
      </c>
      <c r="K13" s="370">
        <f t="shared" si="4"/>
        <v>201.1</v>
      </c>
      <c r="L13" s="370">
        <f t="shared" si="4"/>
        <v>141.8</v>
      </c>
      <c r="M13" s="370">
        <f t="shared" si="4"/>
        <v>135.9</v>
      </c>
      <c r="N13" s="371">
        <f t="shared" si="4"/>
        <v>123.7</v>
      </c>
      <c r="O13" s="371">
        <f t="shared" si="4"/>
        <v>103.4</v>
      </c>
      <c r="P13" s="372">
        <f t="shared" si="4"/>
        <v>99.2</v>
      </c>
      <c r="Q13" s="373">
        <f>ROUND((Q12/P12)*100,1)</f>
        <v>102.9</v>
      </c>
      <c r="R13" s="373">
        <f>ROUND((R12/Q12)*100,1)</f>
        <v>102</v>
      </c>
      <c r="S13" s="373">
        <f>ROUND((S12/R12)*100,1)</f>
        <v>99.4</v>
      </c>
      <c r="T13" s="374">
        <f>ROUND((T12/S12)*100,1)</f>
        <v>99.5</v>
      </c>
    </row>
    <row r="14" spans="1:20" ht="20.25" customHeight="1">
      <c r="A14" s="889"/>
      <c r="B14" s="366" t="s">
        <v>192</v>
      </c>
      <c r="C14" s="375">
        <v>270907</v>
      </c>
      <c r="D14" s="375">
        <v>270018</v>
      </c>
      <c r="E14" s="375">
        <v>238635</v>
      </c>
      <c r="F14" s="393" t="s">
        <v>172</v>
      </c>
      <c r="G14" s="394" t="s">
        <v>172</v>
      </c>
      <c r="H14" s="394" t="s">
        <v>172</v>
      </c>
      <c r="I14" s="376">
        <v>4601</v>
      </c>
      <c r="J14" s="273">
        <v>31887</v>
      </c>
      <c r="K14" s="273">
        <v>59409</v>
      </c>
      <c r="L14" s="376">
        <v>85209</v>
      </c>
      <c r="M14" s="376">
        <v>116220</v>
      </c>
      <c r="N14" s="375">
        <v>138141</v>
      </c>
      <c r="O14" s="375">
        <v>147431</v>
      </c>
      <c r="P14" s="130">
        <v>151146</v>
      </c>
      <c r="Q14" s="131">
        <v>151479</v>
      </c>
      <c r="R14" s="131">
        <v>160968</v>
      </c>
      <c r="S14" s="131">
        <v>165247</v>
      </c>
      <c r="T14" s="132">
        <v>161241</v>
      </c>
    </row>
    <row r="15" spans="1:20" ht="20.25" customHeight="1">
      <c r="A15" s="890"/>
      <c r="B15" s="377" t="s">
        <v>4</v>
      </c>
      <c r="C15" s="378">
        <v>102.6</v>
      </c>
      <c r="D15" s="378">
        <f>ROUND((D14/C14)*100,1)</f>
        <v>99.7</v>
      </c>
      <c r="E15" s="378">
        <f>ROUND((E14/D14)*100,1)</f>
        <v>88.4</v>
      </c>
      <c r="F15" s="395" t="s">
        <v>173</v>
      </c>
      <c r="G15" s="396" t="s">
        <v>173</v>
      </c>
      <c r="H15" s="396" t="s">
        <v>173</v>
      </c>
      <c r="I15" s="396" t="s">
        <v>173</v>
      </c>
      <c r="J15" s="381">
        <f aca="true" t="shared" si="5" ref="J15:P15">ROUND((J14/I14)*100,1)</f>
        <v>693</v>
      </c>
      <c r="K15" s="381">
        <f t="shared" si="5"/>
        <v>186.3</v>
      </c>
      <c r="L15" s="381">
        <f t="shared" si="5"/>
        <v>143.4</v>
      </c>
      <c r="M15" s="381">
        <f t="shared" si="5"/>
        <v>136.4</v>
      </c>
      <c r="N15" s="382">
        <f t="shared" si="5"/>
        <v>118.9</v>
      </c>
      <c r="O15" s="382">
        <f t="shared" si="5"/>
        <v>106.7</v>
      </c>
      <c r="P15" s="383">
        <f t="shared" si="5"/>
        <v>102.5</v>
      </c>
      <c r="Q15" s="384">
        <f>ROUND((Q14/P14)*100,1)</f>
        <v>100.2</v>
      </c>
      <c r="R15" s="384">
        <f>ROUND((R14/Q14)*100,1)</f>
        <v>106.3</v>
      </c>
      <c r="S15" s="384">
        <f>ROUND((S14/R14)*100,1)</f>
        <v>102.7</v>
      </c>
      <c r="T15" s="385">
        <f>ROUND((T14/S14)*100,1)</f>
        <v>97.6</v>
      </c>
    </row>
    <row r="16" spans="1:20" ht="20.25" customHeight="1">
      <c r="A16" s="888" t="s">
        <v>195</v>
      </c>
      <c r="B16" s="359" t="s">
        <v>191</v>
      </c>
      <c r="C16" s="360">
        <v>469393</v>
      </c>
      <c r="D16" s="360">
        <v>453894</v>
      </c>
      <c r="E16" s="360">
        <v>449865</v>
      </c>
      <c r="F16" s="389" t="s">
        <v>172</v>
      </c>
      <c r="G16" s="390" t="s">
        <v>172</v>
      </c>
      <c r="H16" s="390" t="s">
        <v>172</v>
      </c>
      <c r="I16" s="362">
        <v>238</v>
      </c>
      <c r="J16" s="363">
        <v>1798</v>
      </c>
      <c r="K16" s="363">
        <v>3897</v>
      </c>
      <c r="L16" s="364">
        <v>5653</v>
      </c>
      <c r="M16" s="364">
        <v>6602</v>
      </c>
      <c r="N16" s="365">
        <v>7871</v>
      </c>
      <c r="O16" s="365">
        <v>9137</v>
      </c>
      <c r="P16" s="133">
        <v>10507</v>
      </c>
      <c r="Q16" s="122">
        <v>10131</v>
      </c>
      <c r="R16" s="122">
        <v>9352</v>
      </c>
      <c r="S16" s="122">
        <v>8676</v>
      </c>
      <c r="T16" s="123">
        <v>8322</v>
      </c>
    </row>
    <row r="17" spans="1:20" ht="20.25" customHeight="1">
      <c r="A17" s="889"/>
      <c r="B17" s="366" t="s">
        <v>4</v>
      </c>
      <c r="C17" s="367">
        <v>95.7</v>
      </c>
      <c r="D17" s="367">
        <f>ROUND((D16/C16)*100,1)</f>
        <v>96.7</v>
      </c>
      <c r="E17" s="367">
        <f>ROUND((E16/D16)*100,1)</f>
        <v>99.1</v>
      </c>
      <c r="F17" s="391" t="s">
        <v>173</v>
      </c>
      <c r="G17" s="392" t="s">
        <v>173</v>
      </c>
      <c r="H17" s="392" t="s">
        <v>173</v>
      </c>
      <c r="I17" s="392" t="s">
        <v>173</v>
      </c>
      <c r="J17" s="370">
        <f aca="true" t="shared" si="6" ref="J17:P17">ROUND((J16/I16)*100,1)</f>
        <v>755.5</v>
      </c>
      <c r="K17" s="370">
        <f t="shared" si="6"/>
        <v>216.7</v>
      </c>
      <c r="L17" s="370">
        <f t="shared" si="6"/>
        <v>145.1</v>
      </c>
      <c r="M17" s="370">
        <f t="shared" si="6"/>
        <v>116.8</v>
      </c>
      <c r="N17" s="371">
        <f t="shared" si="6"/>
        <v>119.2</v>
      </c>
      <c r="O17" s="371">
        <f t="shared" si="6"/>
        <v>116.1</v>
      </c>
      <c r="P17" s="372">
        <f t="shared" si="6"/>
        <v>115</v>
      </c>
      <c r="Q17" s="373">
        <f>ROUND((Q16/P16)*100,1)</f>
        <v>96.4</v>
      </c>
      <c r="R17" s="373">
        <f>ROUND((R16/Q16)*100,1)</f>
        <v>92.3</v>
      </c>
      <c r="S17" s="373">
        <f>ROUND((S16/R16)*100,1)</f>
        <v>92.8</v>
      </c>
      <c r="T17" s="374">
        <f>ROUND((T16/S16)*100,1)</f>
        <v>95.9</v>
      </c>
    </row>
    <row r="18" spans="1:20" ht="20.25" customHeight="1">
      <c r="A18" s="889"/>
      <c r="B18" s="366" t="s">
        <v>192</v>
      </c>
      <c r="C18" s="375">
        <v>270907</v>
      </c>
      <c r="D18" s="375">
        <v>270018</v>
      </c>
      <c r="E18" s="375">
        <v>238635</v>
      </c>
      <c r="F18" s="393" t="s">
        <v>172</v>
      </c>
      <c r="G18" s="394" t="s">
        <v>172</v>
      </c>
      <c r="H18" s="394" t="s">
        <v>172</v>
      </c>
      <c r="I18" s="376">
        <v>132</v>
      </c>
      <c r="J18" s="273">
        <v>930</v>
      </c>
      <c r="K18" s="273">
        <v>1932</v>
      </c>
      <c r="L18" s="376">
        <v>2855</v>
      </c>
      <c r="M18" s="376">
        <v>3347</v>
      </c>
      <c r="N18" s="375">
        <v>3747</v>
      </c>
      <c r="O18" s="375">
        <v>4433</v>
      </c>
      <c r="P18" s="130">
        <v>5226</v>
      </c>
      <c r="Q18" s="131">
        <v>4988</v>
      </c>
      <c r="R18" s="131">
        <v>4775</v>
      </c>
      <c r="S18" s="131">
        <v>4553</v>
      </c>
      <c r="T18" s="132">
        <v>4228</v>
      </c>
    </row>
    <row r="19" spans="1:20" ht="20.25" customHeight="1">
      <c r="A19" s="890"/>
      <c r="B19" s="377" t="s">
        <v>4</v>
      </c>
      <c r="C19" s="378">
        <v>102.6</v>
      </c>
      <c r="D19" s="378">
        <f>ROUND((D18/C18)*100,1)</f>
        <v>99.7</v>
      </c>
      <c r="E19" s="378">
        <f>ROUND((E18/D18)*100,1)</f>
        <v>88.4</v>
      </c>
      <c r="F19" s="395" t="s">
        <v>172</v>
      </c>
      <c r="G19" s="396" t="s">
        <v>173</v>
      </c>
      <c r="H19" s="396" t="s">
        <v>173</v>
      </c>
      <c r="I19" s="396" t="s">
        <v>173</v>
      </c>
      <c r="J19" s="381">
        <f aca="true" t="shared" si="7" ref="J19:P19">ROUND((J18/I18)*100,1)</f>
        <v>704.5</v>
      </c>
      <c r="K19" s="381">
        <f t="shared" si="7"/>
        <v>207.7</v>
      </c>
      <c r="L19" s="381">
        <f t="shared" si="7"/>
        <v>147.8</v>
      </c>
      <c r="M19" s="381">
        <f t="shared" si="7"/>
        <v>117.2</v>
      </c>
      <c r="N19" s="382">
        <f t="shared" si="7"/>
        <v>112</v>
      </c>
      <c r="O19" s="382">
        <f t="shared" si="7"/>
        <v>118.3</v>
      </c>
      <c r="P19" s="383">
        <f t="shared" si="7"/>
        <v>117.9</v>
      </c>
      <c r="Q19" s="384">
        <f>ROUND((Q18/P18)*100,1)</f>
        <v>95.4</v>
      </c>
      <c r="R19" s="384">
        <f>ROUND((R18/Q18)*100,1)</f>
        <v>95.7</v>
      </c>
      <c r="S19" s="384">
        <f>ROUND((S18/R18)*100,1)</f>
        <v>95.4</v>
      </c>
      <c r="T19" s="385">
        <f>ROUND((T18/S18)*100,1)</f>
        <v>92.9</v>
      </c>
    </row>
    <row r="20" spans="1:20" ht="20.25" customHeight="1">
      <c r="A20" s="891" t="s">
        <v>196</v>
      </c>
      <c r="B20" s="359" t="s">
        <v>197</v>
      </c>
      <c r="C20" s="397"/>
      <c r="D20" s="397"/>
      <c r="E20" s="397"/>
      <c r="F20" s="398"/>
      <c r="G20" s="399"/>
      <c r="H20" s="399" t="s">
        <v>172</v>
      </c>
      <c r="I20" s="399" t="s">
        <v>172</v>
      </c>
      <c r="J20" s="400" t="s">
        <v>172</v>
      </c>
      <c r="K20" s="400" t="s">
        <v>172</v>
      </c>
      <c r="L20" s="362">
        <v>7393</v>
      </c>
      <c r="M20" s="362">
        <v>7488</v>
      </c>
      <c r="N20" s="360">
        <f>1214+6274</f>
        <v>7488</v>
      </c>
      <c r="O20" s="360">
        <v>7488</v>
      </c>
      <c r="P20" s="401">
        <f>1214+6274</f>
        <v>7488</v>
      </c>
      <c r="Q20" s="389" t="s">
        <v>173</v>
      </c>
      <c r="R20" s="389" t="s">
        <v>173</v>
      </c>
      <c r="S20" s="389" t="s">
        <v>173</v>
      </c>
      <c r="T20" s="402" t="s">
        <v>173</v>
      </c>
    </row>
    <row r="21" spans="1:20" ht="20.25" customHeight="1">
      <c r="A21" s="894"/>
      <c r="B21" s="366" t="s">
        <v>198</v>
      </c>
      <c r="C21" s="367"/>
      <c r="D21" s="367"/>
      <c r="E21" s="367"/>
      <c r="F21" s="391"/>
      <c r="G21" s="392"/>
      <c r="H21" s="392" t="s">
        <v>172</v>
      </c>
      <c r="I21" s="392" t="s">
        <v>172</v>
      </c>
      <c r="J21" s="403" t="s">
        <v>172</v>
      </c>
      <c r="K21" s="403" t="s">
        <v>172</v>
      </c>
      <c r="L21" s="392" t="s">
        <v>172</v>
      </c>
      <c r="M21" s="369">
        <f>ROUND((M20/L20)*100,1)</f>
        <v>101.3</v>
      </c>
      <c r="N21" s="371">
        <f>ROUND((N20/M20)*100,1)</f>
        <v>100</v>
      </c>
      <c r="O21" s="371">
        <f>ROUND((O20/N20)*100,1)</f>
        <v>100</v>
      </c>
      <c r="P21" s="372">
        <f>ROUND((P20/O20)*100,1)</f>
        <v>100</v>
      </c>
      <c r="Q21" s="404" t="s">
        <v>173</v>
      </c>
      <c r="R21" s="404" t="s">
        <v>173</v>
      </c>
      <c r="S21" s="404" t="s">
        <v>173</v>
      </c>
      <c r="T21" s="405" t="s">
        <v>173</v>
      </c>
    </row>
    <row r="22" spans="1:20" ht="20.25" customHeight="1">
      <c r="A22" s="894"/>
      <c r="B22" s="366" t="s">
        <v>199</v>
      </c>
      <c r="C22" s="367"/>
      <c r="D22" s="367"/>
      <c r="E22" s="367"/>
      <c r="F22" s="391"/>
      <c r="G22" s="392"/>
      <c r="H22" s="392" t="s">
        <v>172</v>
      </c>
      <c r="I22" s="392" t="s">
        <v>172</v>
      </c>
      <c r="J22" s="403" t="s">
        <v>172</v>
      </c>
      <c r="K22" s="403" t="s">
        <v>172</v>
      </c>
      <c r="L22" s="376">
        <v>2937</v>
      </c>
      <c r="M22" s="376">
        <v>2965</v>
      </c>
      <c r="N22" s="375">
        <f>923+1751</f>
        <v>2674</v>
      </c>
      <c r="O22" s="375">
        <v>2674</v>
      </c>
      <c r="P22" s="130">
        <f>923+1751</f>
        <v>2674</v>
      </c>
      <c r="Q22" s="393" t="s">
        <v>173</v>
      </c>
      <c r="R22" s="393" t="s">
        <v>173</v>
      </c>
      <c r="S22" s="393" t="s">
        <v>173</v>
      </c>
      <c r="T22" s="406" t="s">
        <v>173</v>
      </c>
    </row>
    <row r="23" spans="1:20" ht="20.25" customHeight="1">
      <c r="A23" s="895"/>
      <c r="B23" s="407" t="s">
        <v>198</v>
      </c>
      <c r="C23" s="408"/>
      <c r="D23" s="408"/>
      <c r="E23" s="408"/>
      <c r="F23" s="409"/>
      <c r="G23" s="410"/>
      <c r="H23" s="410" t="s">
        <v>172</v>
      </c>
      <c r="I23" s="410" t="s">
        <v>172</v>
      </c>
      <c r="J23" s="411" t="s">
        <v>172</v>
      </c>
      <c r="K23" s="411" t="s">
        <v>172</v>
      </c>
      <c r="L23" s="412" t="s">
        <v>172</v>
      </c>
      <c r="M23" s="381">
        <f>ROUND((M22/L22)*100,1)</f>
        <v>101</v>
      </c>
      <c r="N23" s="413">
        <f>ROUND((N22/M22)*100,1)</f>
        <v>90.2</v>
      </c>
      <c r="O23" s="413">
        <f>ROUND((O22/N22)*100,1)</f>
        <v>100</v>
      </c>
      <c r="P23" s="414">
        <f>ROUND((P22/O22)*100,1)</f>
        <v>100</v>
      </c>
      <c r="Q23" s="415" t="s">
        <v>173</v>
      </c>
      <c r="R23" s="415" t="s">
        <v>173</v>
      </c>
      <c r="S23" s="415" t="s">
        <v>173</v>
      </c>
      <c r="T23" s="416" t="s">
        <v>173</v>
      </c>
    </row>
    <row r="24" spans="1:20" ht="20.25" customHeight="1">
      <c r="A24" s="888" t="s">
        <v>200</v>
      </c>
      <c r="B24" s="359" t="s">
        <v>191</v>
      </c>
      <c r="C24" s="360"/>
      <c r="D24" s="360"/>
      <c r="E24" s="360"/>
      <c r="F24" s="389" t="s">
        <v>172</v>
      </c>
      <c r="G24" s="362">
        <v>8371</v>
      </c>
      <c r="H24" s="362">
        <v>8371</v>
      </c>
      <c r="I24" s="363">
        <v>8371</v>
      </c>
      <c r="J24" s="363">
        <v>8371</v>
      </c>
      <c r="K24" s="363">
        <v>8371</v>
      </c>
      <c r="L24" s="364">
        <v>1977</v>
      </c>
      <c r="M24" s="364">
        <v>5790</v>
      </c>
      <c r="N24" s="417" t="s">
        <v>172</v>
      </c>
      <c r="O24" s="418">
        <v>15428</v>
      </c>
      <c r="P24" s="419">
        <v>4330</v>
      </c>
      <c r="Q24" s="420">
        <v>6441</v>
      </c>
      <c r="R24" s="420">
        <v>7328</v>
      </c>
      <c r="S24" s="420">
        <v>8199</v>
      </c>
      <c r="T24" s="421">
        <v>10063</v>
      </c>
    </row>
    <row r="25" spans="1:20" ht="20.25" customHeight="1">
      <c r="A25" s="889"/>
      <c r="B25" s="366" t="s">
        <v>4</v>
      </c>
      <c r="C25" s="367"/>
      <c r="D25" s="367"/>
      <c r="E25" s="367"/>
      <c r="F25" s="391" t="s">
        <v>173</v>
      </c>
      <c r="G25" s="392" t="s">
        <v>173</v>
      </c>
      <c r="H25" s="369">
        <f aca="true" t="shared" si="8" ref="H25:M25">ROUND((H24/G24)*100,1)</f>
        <v>100</v>
      </c>
      <c r="I25" s="370">
        <f t="shared" si="8"/>
        <v>100</v>
      </c>
      <c r="J25" s="370">
        <f t="shared" si="8"/>
        <v>100</v>
      </c>
      <c r="K25" s="370">
        <f t="shared" si="8"/>
        <v>100</v>
      </c>
      <c r="L25" s="369">
        <f t="shared" si="8"/>
        <v>23.6</v>
      </c>
      <c r="M25" s="370">
        <f t="shared" si="8"/>
        <v>292.9</v>
      </c>
      <c r="N25" s="422" t="s">
        <v>172</v>
      </c>
      <c r="O25" s="422" t="s">
        <v>172</v>
      </c>
      <c r="P25" s="372">
        <f>ROUND((P24/O24)*100,1)</f>
        <v>28.1</v>
      </c>
      <c r="Q25" s="373">
        <f>ROUND((Q24/P24)*100,1)</f>
        <v>148.8</v>
      </c>
      <c r="R25" s="373">
        <f>ROUND((R24/Q24)*100,1)</f>
        <v>113.8</v>
      </c>
      <c r="S25" s="373">
        <f>ROUND((S24/R24)*100,1)</f>
        <v>111.9</v>
      </c>
      <c r="T25" s="374">
        <f>ROUND((T24/S24)*100,1)</f>
        <v>122.7</v>
      </c>
    </row>
    <row r="26" spans="1:20" ht="20.25" customHeight="1">
      <c r="A26" s="889"/>
      <c r="B26" s="366" t="s">
        <v>192</v>
      </c>
      <c r="C26" s="375"/>
      <c r="D26" s="375"/>
      <c r="E26" s="375"/>
      <c r="F26" s="393" t="s">
        <v>172</v>
      </c>
      <c r="G26" s="376">
        <v>6882</v>
      </c>
      <c r="H26" s="376">
        <v>6710</v>
      </c>
      <c r="I26" s="273">
        <v>6710</v>
      </c>
      <c r="J26" s="273">
        <v>6710</v>
      </c>
      <c r="K26" s="273">
        <v>5861</v>
      </c>
      <c r="L26" s="376">
        <v>1553</v>
      </c>
      <c r="M26" s="376">
        <v>4392</v>
      </c>
      <c r="N26" s="423" t="s">
        <v>172</v>
      </c>
      <c r="O26" s="424">
        <v>10087</v>
      </c>
      <c r="P26" s="425">
        <v>1997</v>
      </c>
      <c r="Q26" s="426">
        <v>3070</v>
      </c>
      <c r="R26" s="426">
        <v>3563</v>
      </c>
      <c r="S26" s="426">
        <v>4011</v>
      </c>
      <c r="T26" s="427">
        <v>5478</v>
      </c>
    </row>
    <row r="27" spans="1:20" ht="20.25" customHeight="1">
      <c r="A27" s="890"/>
      <c r="B27" s="377" t="s">
        <v>4</v>
      </c>
      <c r="C27" s="378"/>
      <c r="D27" s="378"/>
      <c r="E27" s="378"/>
      <c r="F27" s="395" t="s">
        <v>172</v>
      </c>
      <c r="G27" s="396" t="s">
        <v>172</v>
      </c>
      <c r="H27" s="380">
        <f aca="true" t="shared" si="9" ref="H27:M27">ROUND((H26/G26)*100,1)</f>
        <v>97.5</v>
      </c>
      <c r="I27" s="381">
        <f t="shared" si="9"/>
        <v>100</v>
      </c>
      <c r="J27" s="381">
        <f t="shared" si="9"/>
        <v>100</v>
      </c>
      <c r="K27" s="381">
        <f t="shared" si="9"/>
        <v>87.3</v>
      </c>
      <c r="L27" s="381">
        <f t="shared" si="9"/>
        <v>26.5</v>
      </c>
      <c r="M27" s="381">
        <f t="shared" si="9"/>
        <v>282.8</v>
      </c>
      <c r="N27" s="428" t="s">
        <v>172</v>
      </c>
      <c r="O27" s="428" t="s">
        <v>172</v>
      </c>
      <c r="P27" s="384">
        <f>ROUND((P26/O26)*100,1)</f>
        <v>19.8</v>
      </c>
      <c r="Q27" s="384">
        <f>ROUND((Q26/P26)*100,1)</f>
        <v>153.7</v>
      </c>
      <c r="R27" s="384">
        <f>ROUND((R26/Q26)*100,1)</f>
        <v>116.1</v>
      </c>
      <c r="S27" s="384">
        <f>ROUND((S26/R26)*100,1)</f>
        <v>112.6</v>
      </c>
      <c r="T27" s="385">
        <f>ROUND((T26/S26)*100,1)</f>
        <v>136.6</v>
      </c>
    </row>
    <row r="28" spans="1:20" ht="20.25" customHeight="1">
      <c r="A28" s="891" t="s">
        <v>201</v>
      </c>
      <c r="B28" s="386" t="s">
        <v>191</v>
      </c>
      <c r="C28" s="360"/>
      <c r="D28" s="360"/>
      <c r="E28" s="360">
        <v>1377</v>
      </c>
      <c r="F28" s="429">
        <v>392</v>
      </c>
      <c r="G28" s="362">
        <v>713</v>
      </c>
      <c r="H28" s="362">
        <v>1131</v>
      </c>
      <c r="I28" s="363">
        <v>1292</v>
      </c>
      <c r="J28" s="363">
        <v>1460</v>
      </c>
      <c r="K28" s="363">
        <v>1311</v>
      </c>
      <c r="L28" s="364">
        <v>1584</v>
      </c>
      <c r="M28" s="364">
        <v>2040</v>
      </c>
      <c r="N28" s="365">
        <v>1231</v>
      </c>
      <c r="O28" s="365">
        <v>630</v>
      </c>
      <c r="P28" s="133">
        <v>1012</v>
      </c>
      <c r="Q28" s="122">
        <v>1347</v>
      </c>
      <c r="R28" s="122">
        <v>796</v>
      </c>
      <c r="S28" s="122">
        <v>604</v>
      </c>
      <c r="T28" s="123">
        <v>560</v>
      </c>
    </row>
    <row r="29" spans="1:20" ht="20.25" customHeight="1">
      <c r="A29" s="892"/>
      <c r="B29" s="387" t="s">
        <v>4</v>
      </c>
      <c r="C29" s="367"/>
      <c r="D29" s="367"/>
      <c r="E29" s="367"/>
      <c r="F29" s="369">
        <f aca="true" t="shared" si="10" ref="F29:S29">ROUND((F28/E28)*100,1)</f>
        <v>28.5</v>
      </c>
      <c r="G29" s="369">
        <f t="shared" si="10"/>
        <v>181.9</v>
      </c>
      <c r="H29" s="369">
        <f t="shared" si="10"/>
        <v>158.6</v>
      </c>
      <c r="I29" s="370">
        <f t="shared" si="10"/>
        <v>114.2</v>
      </c>
      <c r="J29" s="370">
        <f t="shared" si="10"/>
        <v>113</v>
      </c>
      <c r="K29" s="370">
        <f t="shared" si="10"/>
        <v>89.8</v>
      </c>
      <c r="L29" s="370">
        <f t="shared" si="10"/>
        <v>120.8</v>
      </c>
      <c r="M29" s="370">
        <f t="shared" si="10"/>
        <v>128.8</v>
      </c>
      <c r="N29" s="371">
        <f t="shared" si="10"/>
        <v>60.3</v>
      </c>
      <c r="O29" s="371">
        <f t="shared" si="10"/>
        <v>51.2</v>
      </c>
      <c r="P29" s="372">
        <f t="shared" si="10"/>
        <v>160.6</v>
      </c>
      <c r="Q29" s="373">
        <f t="shared" si="10"/>
        <v>133.1</v>
      </c>
      <c r="R29" s="373">
        <f t="shared" si="10"/>
        <v>59.1</v>
      </c>
      <c r="S29" s="373">
        <f t="shared" si="10"/>
        <v>75.9</v>
      </c>
      <c r="T29" s="374">
        <f>ROUND((T28/S28)*100,1)</f>
        <v>92.7</v>
      </c>
    </row>
    <row r="30" spans="1:20" ht="20.25" customHeight="1">
      <c r="A30" s="892"/>
      <c r="B30" s="387" t="s">
        <v>192</v>
      </c>
      <c r="C30" s="375"/>
      <c r="D30" s="375"/>
      <c r="E30" s="375">
        <v>890</v>
      </c>
      <c r="F30" s="426">
        <v>26</v>
      </c>
      <c r="G30" s="376">
        <v>42</v>
      </c>
      <c r="H30" s="376">
        <v>78</v>
      </c>
      <c r="I30" s="273">
        <v>93</v>
      </c>
      <c r="J30" s="273">
        <v>123</v>
      </c>
      <c r="K30" s="273">
        <v>104</v>
      </c>
      <c r="L30" s="376">
        <v>133</v>
      </c>
      <c r="M30" s="376">
        <v>201</v>
      </c>
      <c r="N30" s="375">
        <v>86</v>
      </c>
      <c r="O30" s="375">
        <v>64</v>
      </c>
      <c r="P30" s="130">
        <v>96</v>
      </c>
      <c r="Q30" s="131">
        <v>121</v>
      </c>
      <c r="R30" s="131">
        <v>69</v>
      </c>
      <c r="S30" s="131">
        <v>60</v>
      </c>
      <c r="T30" s="132">
        <v>61</v>
      </c>
    </row>
    <row r="31" spans="1:20" ht="20.25" customHeight="1">
      <c r="A31" s="893"/>
      <c r="B31" s="388" t="s">
        <v>4</v>
      </c>
      <c r="C31" s="378"/>
      <c r="D31" s="378"/>
      <c r="E31" s="378"/>
      <c r="F31" s="380">
        <f aca="true" t="shared" si="11" ref="F31:S31">ROUND((F30/E30)*100,1)</f>
        <v>2.9</v>
      </c>
      <c r="G31" s="380">
        <f t="shared" si="11"/>
        <v>161.5</v>
      </c>
      <c r="H31" s="380">
        <f t="shared" si="11"/>
        <v>185.7</v>
      </c>
      <c r="I31" s="381">
        <f t="shared" si="11"/>
        <v>119.2</v>
      </c>
      <c r="J31" s="381">
        <f t="shared" si="11"/>
        <v>132.3</v>
      </c>
      <c r="K31" s="381">
        <f t="shared" si="11"/>
        <v>84.6</v>
      </c>
      <c r="L31" s="381">
        <f t="shared" si="11"/>
        <v>127.9</v>
      </c>
      <c r="M31" s="381">
        <f t="shared" si="11"/>
        <v>151.1</v>
      </c>
      <c r="N31" s="382">
        <f t="shared" si="11"/>
        <v>42.8</v>
      </c>
      <c r="O31" s="382">
        <f t="shared" si="11"/>
        <v>74.4</v>
      </c>
      <c r="P31" s="383">
        <f t="shared" si="11"/>
        <v>150</v>
      </c>
      <c r="Q31" s="384">
        <f t="shared" si="11"/>
        <v>126</v>
      </c>
      <c r="R31" s="384">
        <f t="shared" si="11"/>
        <v>57</v>
      </c>
      <c r="S31" s="384">
        <f t="shared" si="11"/>
        <v>87</v>
      </c>
      <c r="T31" s="385">
        <f>ROUND((T30/S30)*100,1)</f>
        <v>101.7</v>
      </c>
    </row>
    <row r="32" spans="1:20" ht="20.25" customHeight="1">
      <c r="A32" s="891" t="s">
        <v>202</v>
      </c>
      <c r="B32" s="359" t="s">
        <v>191</v>
      </c>
      <c r="C32" s="360"/>
      <c r="D32" s="360"/>
      <c r="E32" s="360"/>
      <c r="F32" s="389" t="s">
        <v>172</v>
      </c>
      <c r="G32" s="362">
        <v>626</v>
      </c>
      <c r="H32" s="362">
        <v>400</v>
      </c>
      <c r="I32" s="363">
        <v>700</v>
      </c>
      <c r="J32" s="363">
        <v>800</v>
      </c>
      <c r="K32" s="363">
        <v>688</v>
      </c>
      <c r="L32" s="364">
        <v>300</v>
      </c>
      <c r="M32" s="364">
        <v>586</v>
      </c>
      <c r="N32" s="365">
        <v>391</v>
      </c>
      <c r="O32" s="417" t="s">
        <v>172</v>
      </c>
      <c r="P32" s="430" t="s">
        <v>172</v>
      </c>
      <c r="Q32" s="420">
        <v>300</v>
      </c>
      <c r="R32" s="420">
        <v>600</v>
      </c>
      <c r="S32" s="431" t="s">
        <v>172</v>
      </c>
      <c r="T32" s="432">
        <v>570</v>
      </c>
    </row>
    <row r="33" spans="1:20" ht="20.25" customHeight="1">
      <c r="A33" s="892"/>
      <c r="B33" s="366" t="s">
        <v>4</v>
      </c>
      <c r="C33" s="367"/>
      <c r="D33" s="367"/>
      <c r="E33" s="367"/>
      <c r="F33" s="391" t="s">
        <v>172</v>
      </c>
      <c r="G33" s="392" t="s">
        <v>172</v>
      </c>
      <c r="H33" s="369">
        <f aca="true" t="shared" si="12" ref="H33:M33">ROUND((H32/G32)*100,1)</f>
        <v>63.9</v>
      </c>
      <c r="I33" s="369">
        <f t="shared" si="12"/>
        <v>175</v>
      </c>
      <c r="J33" s="370">
        <f t="shared" si="12"/>
        <v>114.3</v>
      </c>
      <c r="K33" s="370">
        <f t="shared" si="12"/>
        <v>86</v>
      </c>
      <c r="L33" s="370">
        <f t="shared" si="12"/>
        <v>43.6</v>
      </c>
      <c r="M33" s="370">
        <f t="shared" si="12"/>
        <v>195.3</v>
      </c>
      <c r="N33" s="371">
        <f>ROUND((N32/M32)*100,1)</f>
        <v>66.7</v>
      </c>
      <c r="O33" s="422" t="s">
        <v>172</v>
      </c>
      <c r="P33" s="433" t="s">
        <v>172</v>
      </c>
      <c r="Q33" s="404" t="s">
        <v>172</v>
      </c>
      <c r="R33" s="404" t="s">
        <v>172</v>
      </c>
      <c r="S33" s="404" t="s">
        <v>172</v>
      </c>
      <c r="T33" s="434" t="s">
        <v>173</v>
      </c>
    </row>
    <row r="34" spans="1:20" ht="20.25" customHeight="1">
      <c r="A34" s="892"/>
      <c r="B34" s="366" t="s">
        <v>192</v>
      </c>
      <c r="C34" s="375"/>
      <c r="D34" s="375"/>
      <c r="E34" s="375"/>
      <c r="F34" s="393" t="s">
        <v>172</v>
      </c>
      <c r="G34" s="376">
        <v>48</v>
      </c>
      <c r="H34" s="376">
        <v>54</v>
      </c>
      <c r="I34" s="376">
        <v>68</v>
      </c>
      <c r="J34" s="273">
        <v>99</v>
      </c>
      <c r="K34" s="273">
        <v>47</v>
      </c>
      <c r="L34" s="376">
        <v>36</v>
      </c>
      <c r="M34" s="376">
        <v>59</v>
      </c>
      <c r="N34" s="375">
        <v>48</v>
      </c>
      <c r="O34" s="423" t="s">
        <v>172</v>
      </c>
      <c r="P34" s="435" t="s">
        <v>172</v>
      </c>
      <c r="Q34" s="426">
        <v>21</v>
      </c>
      <c r="R34" s="426">
        <v>52</v>
      </c>
      <c r="S34" s="393" t="s">
        <v>172</v>
      </c>
      <c r="T34" s="427">
        <v>50</v>
      </c>
    </row>
    <row r="35" spans="1:20" ht="20.25" customHeight="1">
      <c r="A35" s="893"/>
      <c r="B35" s="377" t="s">
        <v>4</v>
      </c>
      <c r="C35" s="378"/>
      <c r="D35" s="378"/>
      <c r="E35" s="378"/>
      <c r="F35" s="395" t="s">
        <v>172</v>
      </c>
      <c r="G35" s="396" t="s">
        <v>172</v>
      </c>
      <c r="H35" s="380">
        <f aca="true" t="shared" si="13" ref="H35:M35">ROUND((H34/G34)*100,1)</f>
        <v>112.5</v>
      </c>
      <c r="I35" s="380">
        <f t="shared" si="13"/>
        <v>125.9</v>
      </c>
      <c r="J35" s="381">
        <f t="shared" si="13"/>
        <v>145.6</v>
      </c>
      <c r="K35" s="381">
        <f t="shared" si="13"/>
        <v>47.5</v>
      </c>
      <c r="L35" s="381">
        <f t="shared" si="13"/>
        <v>76.6</v>
      </c>
      <c r="M35" s="381">
        <f t="shared" si="13"/>
        <v>163.9</v>
      </c>
      <c r="N35" s="382">
        <f>ROUND((N34/M34)*100,1)</f>
        <v>81.4</v>
      </c>
      <c r="O35" s="428" t="s">
        <v>172</v>
      </c>
      <c r="P35" s="436" t="s">
        <v>172</v>
      </c>
      <c r="Q35" s="437" t="s">
        <v>172</v>
      </c>
      <c r="R35" s="437" t="s">
        <v>172</v>
      </c>
      <c r="S35" s="437" t="s">
        <v>172</v>
      </c>
      <c r="T35" s="438" t="s">
        <v>173</v>
      </c>
    </row>
    <row r="36" spans="1:20" ht="20.25" customHeight="1">
      <c r="A36" s="891" t="s">
        <v>203</v>
      </c>
      <c r="B36" s="359" t="s">
        <v>191</v>
      </c>
      <c r="C36" s="360"/>
      <c r="D36" s="360"/>
      <c r="E36" s="360"/>
      <c r="F36" s="389" t="s">
        <v>172</v>
      </c>
      <c r="G36" s="362">
        <v>626</v>
      </c>
      <c r="H36" s="362">
        <v>400</v>
      </c>
      <c r="I36" s="363">
        <v>700</v>
      </c>
      <c r="J36" s="363">
        <v>800</v>
      </c>
      <c r="K36" s="363">
        <v>688</v>
      </c>
      <c r="L36" s="364">
        <v>300</v>
      </c>
      <c r="M36" s="364">
        <v>586</v>
      </c>
      <c r="N36" s="365">
        <v>391</v>
      </c>
      <c r="O36" s="417" t="s">
        <v>172</v>
      </c>
      <c r="P36" s="430" t="s">
        <v>172</v>
      </c>
      <c r="Q36" s="431" t="s">
        <v>173</v>
      </c>
      <c r="R36" s="431" t="s">
        <v>173</v>
      </c>
      <c r="S36" s="431" t="s">
        <v>172</v>
      </c>
      <c r="T36" s="402" t="s">
        <v>173</v>
      </c>
    </row>
    <row r="37" spans="1:20" ht="20.25" customHeight="1">
      <c r="A37" s="892"/>
      <c r="B37" s="366" t="s">
        <v>4</v>
      </c>
      <c r="C37" s="367"/>
      <c r="D37" s="367"/>
      <c r="E37" s="367"/>
      <c r="F37" s="391" t="s">
        <v>172</v>
      </c>
      <c r="G37" s="392" t="s">
        <v>172</v>
      </c>
      <c r="H37" s="369">
        <f aca="true" t="shared" si="14" ref="H37:N37">ROUND((H36/G36)*100,1)</f>
        <v>63.9</v>
      </c>
      <c r="I37" s="369">
        <f t="shared" si="14"/>
        <v>175</v>
      </c>
      <c r="J37" s="370">
        <f t="shared" si="14"/>
        <v>114.3</v>
      </c>
      <c r="K37" s="370">
        <f t="shared" si="14"/>
        <v>86</v>
      </c>
      <c r="L37" s="370">
        <f t="shared" si="14"/>
        <v>43.6</v>
      </c>
      <c r="M37" s="370">
        <f t="shared" si="14"/>
        <v>195.3</v>
      </c>
      <c r="N37" s="371">
        <f t="shared" si="14"/>
        <v>66.7</v>
      </c>
      <c r="O37" s="422" t="s">
        <v>172</v>
      </c>
      <c r="P37" s="433" t="s">
        <v>172</v>
      </c>
      <c r="Q37" s="404" t="s">
        <v>172</v>
      </c>
      <c r="R37" s="404" t="s">
        <v>172</v>
      </c>
      <c r="S37" s="404" t="s">
        <v>172</v>
      </c>
      <c r="T37" s="405" t="s">
        <v>173</v>
      </c>
    </row>
    <row r="38" spans="1:20" ht="20.25" customHeight="1">
      <c r="A38" s="892"/>
      <c r="B38" s="366" t="s">
        <v>192</v>
      </c>
      <c r="C38" s="375"/>
      <c r="D38" s="375"/>
      <c r="E38" s="375"/>
      <c r="F38" s="393" t="s">
        <v>172</v>
      </c>
      <c r="G38" s="376">
        <v>48</v>
      </c>
      <c r="H38" s="376">
        <v>54</v>
      </c>
      <c r="I38" s="376">
        <v>68</v>
      </c>
      <c r="J38" s="273">
        <v>99</v>
      </c>
      <c r="K38" s="273">
        <v>47</v>
      </c>
      <c r="L38" s="376">
        <v>36</v>
      </c>
      <c r="M38" s="376">
        <v>59</v>
      </c>
      <c r="N38" s="375">
        <v>48</v>
      </c>
      <c r="O38" s="423" t="s">
        <v>172</v>
      </c>
      <c r="P38" s="435" t="s">
        <v>172</v>
      </c>
      <c r="Q38" s="393" t="s">
        <v>173</v>
      </c>
      <c r="R38" s="393" t="s">
        <v>173</v>
      </c>
      <c r="S38" s="393" t="s">
        <v>172</v>
      </c>
      <c r="T38" s="406" t="s">
        <v>173</v>
      </c>
    </row>
    <row r="39" spans="1:20" ht="20.25" customHeight="1">
      <c r="A39" s="893"/>
      <c r="B39" s="377" t="s">
        <v>4</v>
      </c>
      <c r="C39" s="378"/>
      <c r="D39" s="378"/>
      <c r="E39" s="378"/>
      <c r="F39" s="395" t="s">
        <v>172</v>
      </c>
      <c r="G39" s="396" t="s">
        <v>172</v>
      </c>
      <c r="H39" s="380">
        <f aca="true" t="shared" si="15" ref="H39:N39">ROUND((H38/G38)*100,1)</f>
        <v>112.5</v>
      </c>
      <c r="I39" s="380">
        <f t="shared" si="15"/>
        <v>125.9</v>
      </c>
      <c r="J39" s="381">
        <f t="shared" si="15"/>
        <v>145.6</v>
      </c>
      <c r="K39" s="381">
        <f t="shared" si="15"/>
        <v>47.5</v>
      </c>
      <c r="L39" s="381">
        <f t="shared" si="15"/>
        <v>76.6</v>
      </c>
      <c r="M39" s="381">
        <f t="shared" si="15"/>
        <v>163.9</v>
      </c>
      <c r="N39" s="382">
        <f t="shared" si="15"/>
        <v>81.4</v>
      </c>
      <c r="O39" s="428" t="s">
        <v>172</v>
      </c>
      <c r="P39" s="436" t="s">
        <v>172</v>
      </c>
      <c r="Q39" s="437" t="s">
        <v>172</v>
      </c>
      <c r="R39" s="437" t="s">
        <v>172</v>
      </c>
      <c r="S39" s="437" t="s">
        <v>172</v>
      </c>
      <c r="T39" s="416" t="s">
        <v>173</v>
      </c>
    </row>
    <row r="40" spans="1:20" ht="20.25" customHeight="1">
      <c r="A40" s="896" t="s">
        <v>204</v>
      </c>
      <c r="B40" s="439" t="s">
        <v>191</v>
      </c>
      <c r="C40" s="365"/>
      <c r="D40" s="365"/>
      <c r="E40" s="365"/>
      <c r="F40" s="431" t="s">
        <v>172</v>
      </c>
      <c r="G40" s="431" t="s">
        <v>172</v>
      </c>
      <c r="H40" s="364">
        <v>480</v>
      </c>
      <c r="I40" s="364">
        <v>1412</v>
      </c>
      <c r="J40" s="271">
        <v>1252</v>
      </c>
      <c r="K40" s="271">
        <v>238</v>
      </c>
      <c r="L40" s="364">
        <v>440</v>
      </c>
      <c r="M40" s="364">
        <v>96</v>
      </c>
      <c r="N40" s="365">
        <v>120</v>
      </c>
      <c r="O40" s="365">
        <v>295</v>
      </c>
      <c r="P40" s="133">
        <v>480</v>
      </c>
      <c r="Q40" s="122">
        <v>120</v>
      </c>
      <c r="R40" s="122">
        <v>88</v>
      </c>
      <c r="S40" s="431" t="s">
        <v>172</v>
      </c>
      <c r="T40" s="402" t="s">
        <v>173</v>
      </c>
    </row>
    <row r="41" spans="1:20" ht="20.25" customHeight="1">
      <c r="A41" s="889"/>
      <c r="B41" s="366" t="s">
        <v>4</v>
      </c>
      <c r="C41" s="367"/>
      <c r="D41" s="367"/>
      <c r="E41" s="367"/>
      <c r="F41" s="391" t="s">
        <v>172</v>
      </c>
      <c r="G41" s="391" t="s">
        <v>172</v>
      </c>
      <c r="H41" s="391" t="s">
        <v>172</v>
      </c>
      <c r="I41" s="369">
        <f aca="true" t="shared" si="16" ref="I41:R41">ROUND((I40/H40)*100,1)</f>
        <v>294.2</v>
      </c>
      <c r="J41" s="370">
        <f t="shared" si="16"/>
        <v>88.7</v>
      </c>
      <c r="K41" s="370">
        <f t="shared" si="16"/>
        <v>19</v>
      </c>
      <c r="L41" s="370">
        <f t="shared" si="16"/>
        <v>184.9</v>
      </c>
      <c r="M41" s="370">
        <f t="shared" si="16"/>
        <v>21.8</v>
      </c>
      <c r="N41" s="371">
        <f t="shared" si="16"/>
        <v>125</v>
      </c>
      <c r="O41" s="371">
        <f>ROUND((O40/N40)*100,1)</f>
        <v>245.8</v>
      </c>
      <c r="P41" s="372">
        <f>ROUND((P40/O40)*100,1)</f>
        <v>162.7</v>
      </c>
      <c r="Q41" s="373">
        <f t="shared" si="16"/>
        <v>25</v>
      </c>
      <c r="R41" s="373">
        <f t="shared" si="16"/>
        <v>73.3</v>
      </c>
      <c r="S41" s="404" t="s">
        <v>172</v>
      </c>
      <c r="T41" s="434" t="s">
        <v>173</v>
      </c>
    </row>
    <row r="42" spans="1:20" ht="20.25" customHeight="1">
      <c r="A42" s="889"/>
      <c r="B42" s="366" t="s">
        <v>192</v>
      </c>
      <c r="C42" s="375"/>
      <c r="D42" s="375"/>
      <c r="E42" s="375"/>
      <c r="F42" s="393" t="s">
        <v>172</v>
      </c>
      <c r="G42" s="393" t="s">
        <v>172</v>
      </c>
      <c r="H42" s="376">
        <v>38</v>
      </c>
      <c r="I42" s="376">
        <v>200</v>
      </c>
      <c r="J42" s="273">
        <v>210</v>
      </c>
      <c r="K42" s="273">
        <v>23</v>
      </c>
      <c r="L42" s="376">
        <v>43</v>
      </c>
      <c r="M42" s="376">
        <v>11</v>
      </c>
      <c r="N42" s="375">
        <v>32</v>
      </c>
      <c r="O42" s="375">
        <v>37</v>
      </c>
      <c r="P42" s="130">
        <v>53</v>
      </c>
      <c r="Q42" s="131">
        <v>23</v>
      </c>
      <c r="R42" s="131">
        <v>27</v>
      </c>
      <c r="S42" s="393" t="s">
        <v>172</v>
      </c>
      <c r="T42" s="406" t="s">
        <v>173</v>
      </c>
    </row>
    <row r="43" spans="1:20" ht="20.25" customHeight="1">
      <c r="A43" s="889"/>
      <c r="B43" s="440" t="s">
        <v>4</v>
      </c>
      <c r="C43" s="441"/>
      <c r="D43" s="441"/>
      <c r="E43" s="441"/>
      <c r="F43" s="442" t="s">
        <v>172</v>
      </c>
      <c r="G43" s="442" t="s">
        <v>172</v>
      </c>
      <c r="H43" s="442" t="s">
        <v>172</v>
      </c>
      <c r="I43" s="443">
        <f aca="true" t="shared" si="17" ref="I43:R43">ROUND((I42/H42)*100,1)</f>
        <v>526.3</v>
      </c>
      <c r="J43" s="444">
        <f t="shared" si="17"/>
        <v>105</v>
      </c>
      <c r="K43" s="444">
        <f t="shared" si="17"/>
        <v>11</v>
      </c>
      <c r="L43" s="444">
        <f t="shared" si="17"/>
        <v>187</v>
      </c>
      <c r="M43" s="444">
        <f t="shared" si="17"/>
        <v>25.6</v>
      </c>
      <c r="N43" s="445">
        <f>ROUND((N42/M42)*100,1)</f>
        <v>290.9</v>
      </c>
      <c r="O43" s="445">
        <f>ROUND((O42/N42)*100,1)</f>
        <v>115.6</v>
      </c>
      <c r="P43" s="446">
        <f>ROUND((P42/O42)*100,1)</f>
        <v>143.2</v>
      </c>
      <c r="Q43" s="447">
        <f t="shared" si="17"/>
        <v>43.4</v>
      </c>
      <c r="R43" s="447">
        <f t="shared" si="17"/>
        <v>117.4</v>
      </c>
      <c r="S43" s="448" t="s">
        <v>172</v>
      </c>
      <c r="T43" s="416" t="s">
        <v>173</v>
      </c>
    </row>
    <row r="44" spans="1:20" ht="20.25" customHeight="1">
      <c r="A44" s="891" t="s">
        <v>205</v>
      </c>
      <c r="B44" s="359" t="s">
        <v>197</v>
      </c>
      <c r="C44" s="397"/>
      <c r="D44" s="397"/>
      <c r="E44" s="397"/>
      <c r="F44" s="398"/>
      <c r="G44" s="399"/>
      <c r="H44" s="399"/>
      <c r="I44" s="399"/>
      <c r="J44" s="400" t="s">
        <v>172</v>
      </c>
      <c r="K44" s="400" t="s">
        <v>172</v>
      </c>
      <c r="L44" s="400" t="s">
        <v>172</v>
      </c>
      <c r="M44" s="400" t="s">
        <v>172</v>
      </c>
      <c r="N44" s="360">
        <v>12970</v>
      </c>
      <c r="O44" s="449" t="s">
        <v>172</v>
      </c>
      <c r="P44" s="450">
        <v>12970</v>
      </c>
      <c r="Q44" s="429">
        <v>10274</v>
      </c>
      <c r="R44" s="429">
        <v>7180</v>
      </c>
      <c r="S44" s="389" t="s">
        <v>172</v>
      </c>
      <c r="T44" s="402" t="s">
        <v>173</v>
      </c>
    </row>
    <row r="45" spans="1:20" ht="20.25" customHeight="1">
      <c r="A45" s="894"/>
      <c r="B45" s="366" t="s">
        <v>198</v>
      </c>
      <c r="C45" s="367"/>
      <c r="D45" s="367"/>
      <c r="E45" s="367"/>
      <c r="F45" s="391"/>
      <c r="G45" s="392"/>
      <c r="H45" s="392"/>
      <c r="I45" s="392"/>
      <c r="J45" s="403" t="s">
        <v>172</v>
      </c>
      <c r="K45" s="403" t="s">
        <v>172</v>
      </c>
      <c r="L45" s="392" t="s">
        <v>172</v>
      </c>
      <c r="M45" s="392" t="s">
        <v>172</v>
      </c>
      <c r="N45" s="403" t="s">
        <v>172</v>
      </c>
      <c r="O45" s="403" t="s">
        <v>172</v>
      </c>
      <c r="P45" s="451" t="s">
        <v>172</v>
      </c>
      <c r="Q45" s="373">
        <f>ROUND((Q44/P44)*100,1)</f>
        <v>79.2</v>
      </c>
      <c r="R45" s="373">
        <f>ROUND((R44/Q44)*100,1)</f>
        <v>69.9</v>
      </c>
      <c r="S45" s="404" t="s">
        <v>172</v>
      </c>
      <c r="T45" s="434" t="s">
        <v>173</v>
      </c>
    </row>
    <row r="46" spans="1:20" ht="20.25" customHeight="1">
      <c r="A46" s="894"/>
      <c r="B46" s="366" t="s">
        <v>199</v>
      </c>
      <c r="C46" s="367"/>
      <c r="D46" s="367"/>
      <c r="E46" s="367"/>
      <c r="F46" s="391"/>
      <c r="G46" s="392"/>
      <c r="H46" s="392"/>
      <c r="I46" s="392"/>
      <c r="J46" s="403" t="s">
        <v>172</v>
      </c>
      <c r="K46" s="403" t="s">
        <v>172</v>
      </c>
      <c r="L46" s="403" t="s">
        <v>172</v>
      </c>
      <c r="M46" s="403" t="s">
        <v>172</v>
      </c>
      <c r="N46" s="375">
        <v>8917</v>
      </c>
      <c r="O46" s="423" t="s">
        <v>172</v>
      </c>
      <c r="P46" s="425">
        <v>8916</v>
      </c>
      <c r="Q46" s="426">
        <v>6443</v>
      </c>
      <c r="R46" s="426">
        <v>4305</v>
      </c>
      <c r="S46" s="393" t="s">
        <v>172</v>
      </c>
      <c r="T46" s="406" t="s">
        <v>173</v>
      </c>
    </row>
    <row r="47" spans="1:20" ht="20.25" customHeight="1">
      <c r="A47" s="895"/>
      <c r="B47" s="452" t="s">
        <v>198</v>
      </c>
      <c r="C47" s="453"/>
      <c r="D47" s="453"/>
      <c r="E47" s="453"/>
      <c r="F47" s="454"/>
      <c r="G47" s="455"/>
      <c r="H47" s="455"/>
      <c r="I47" s="455"/>
      <c r="J47" s="456" t="s">
        <v>172</v>
      </c>
      <c r="K47" s="456" t="s">
        <v>172</v>
      </c>
      <c r="L47" s="412" t="s">
        <v>172</v>
      </c>
      <c r="M47" s="412" t="s">
        <v>172</v>
      </c>
      <c r="N47" s="412" t="s">
        <v>172</v>
      </c>
      <c r="O47" s="412" t="s">
        <v>172</v>
      </c>
      <c r="P47" s="457" t="s">
        <v>172</v>
      </c>
      <c r="Q47" s="384">
        <f>ROUND((Q46/P46)*100,1)</f>
        <v>72.3</v>
      </c>
      <c r="R47" s="384">
        <f>ROUND((R46/Q46)*100,1)</f>
        <v>66.8</v>
      </c>
      <c r="S47" s="437" t="s">
        <v>172</v>
      </c>
      <c r="T47" s="438" t="s">
        <v>173</v>
      </c>
    </row>
    <row r="48" spans="1:20" ht="20.25" customHeight="1">
      <c r="A48" s="894" t="s">
        <v>206</v>
      </c>
      <c r="B48" s="439" t="s">
        <v>197</v>
      </c>
      <c r="C48" s="458"/>
      <c r="D48" s="458"/>
      <c r="E48" s="458"/>
      <c r="F48" s="459"/>
      <c r="G48" s="460"/>
      <c r="H48" s="460"/>
      <c r="I48" s="460"/>
      <c r="J48" s="461"/>
      <c r="K48" s="461" t="s">
        <v>172</v>
      </c>
      <c r="L48" s="461" t="s">
        <v>172</v>
      </c>
      <c r="M48" s="461" t="s">
        <v>172</v>
      </c>
      <c r="N48" s="461" t="s">
        <v>172</v>
      </c>
      <c r="O48" s="462">
        <v>1575</v>
      </c>
      <c r="P48" s="419">
        <v>200</v>
      </c>
      <c r="Q48" s="431" t="s">
        <v>173</v>
      </c>
      <c r="R48" s="431" t="s">
        <v>173</v>
      </c>
      <c r="S48" s="431" t="s">
        <v>173</v>
      </c>
      <c r="T48" s="402" t="s">
        <v>173</v>
      </c>
    </row>
    <row r="49" spans="1:20" ht="20.25" customHeight="1">
      <c r="A49" s="894"/>
      <c r="B49" s="366" t="s">
        <v>198</v>
      </c>
      <c r="C49" s="367"/>
      <c r="D49" s="367"/>
      <c r="E49" s="367"/>
      <c r="F49" s="391"/>
      <c r="G49" s="392"/>
      <c r="H49" s="392"/>
      <c r="I49" s="392"/>
      <c r="J49" s="403"/>
      <c r="K49" s="403" t="s">
        <v>172</v>
      </c>
      <c r="L49" s="392" t="s">
        <v>172</v>
      </c>
      <c r="M49" s="392" t="s">
        <v>172</v>
      </c>
      <c r="N49" s="403" t="s">
        <v>172</v>
      </c>
      <c r="O49" s="403" t="s">
        <v>172</v>
      </c>
      <c r="P49" s="372">
        <f>ROUND((P48/O48)*100,1)</f>
        <v>12.7</v>
      </c>
      <c r="Q49" s="404" t="s">
        <v>173</v>
      </c>
      <c r="R49" s="404" t="s">
        <v>173</v>
      </c>
      <c r="S49" s="404" t="s">
        <v>173</v>
      </c>
      <c r="T49" s="434" t="s">
        <v>173</v>
      </c>
    </row>
    <row r="50" spans="1:20" ht="20.25" customHeight="1">
      <c r="A50" s="894"/>
      <c r="B50" s="366" t="s">
        <v>199</v>
      </c>
      <c r="C50" s="367"/>
      <c r="D50" s="367"/>
      <c r="E50" s="367"/>
      <c r="F50" s="391"/>
      <c r="G50" s="392"/>
      <c r="H50" s="392"/>
      <c r="I50" s="392"/>
      <c r="J50" s="403"/>
      <c r="K50" s="403" t="s">
        <v>172</v>
      </c>
      <c r="L50" s="403" t="s">
        <v>172</v>
      </c>
      <c r="M50" s="403" t="s">
        <v>172</v>
      </c>
      <c r="N50" s="403" t="s">
        <v>172</v>
      </c>
      <c r="O50" s="424">
        <v>147</v>
      </c>
      <c r="P50" s="425">
        <v>14</v>
      </c>
      <c r="Q50" s="393" t="s">
        <v>173</v>
      </c>
      <c r="R50" s="393" t="s">
        <v>173</v>
      </c>
      <c r="S50" s="393" t="s">
        <v>173</v>
      </c>
      <c r="T50" s="406" t="s">
        <v>173</v>
      </c>
    </row>
    <row r="51" spans="1:20" ht="20.25" customHeight="1" thickBot="1">
      <c r="A51" s="897"/>
      <c r="B51" s="463" t="s">
        <v>198</v>
      </c>
      <c r="C51" s="464"/>
      <c r="D51" s="464"/>
      <c r="E51" s="464"/>
      <c r="F51" s="465"/>
      <c r="G51" s="466"/>
      <c r="H51" s="466"/>
      <c r="I51" s="466"/>
      <c r="J51" s="467"/>
      <c r="K51" s="467" t="s">
        <v>172</v>
      </c>
      <c r="L51" s="468" t="s">
        <v>172</v>
      </c>
      <c r="M51" s="468" t="s">
        <v>172</v>
      </c>
      <c r="N51" s="468" t="s">
        <v>172</v>
      </c>
      <c r="O51" s="468" t="s">
        <v>172</v>
      </c>
      <c r="P51" s="469">
        <f>ROUND((P50/O50)*100,1)</f>
        <v>9.5</v>
      </c>
      <c r="Q51" s="470" t="s">
        <v>173</v>
      </c>
      <c r="R51" s="470" t="s">
        <v>173</v>
      </c>
      <c r="S51" s="470" t="s">
        <v>173</v>
      </c>
      <c r="T51" s="471" t="s">
        <v>173</v>
      </c>
    </row>
    <row r="52" spans="1:15" ht="21.75" customHeight="1">
      <c r="A52" s="143" t="s">
        <v>207</v>
      </c>
      <c r="H52" s="283"/>
      <c r="I52" s="283"/>
      <c r="J52" s="283"/>
      <c r="K52" s="283"/>
      <c r="L52" s="283"/>
      <c r="M52" s="283"/>
      <c r="N52" s="283"/>
      <c r="O52" s="283"/>
    </row>
  </sheetData>
  <sheetProtection/>
  <mergeCells count="12">
    <mergeCell ref="A28:A31"/>
    <mergeCell ref="A32:A35"/>
    <mergeCell ref="A36:A39"/>
    <mergeCell ref="A40:A43"/>
    <mergeCell ref="A44:A47"/>
    <mergeCell ref="A48:A51"/>
    <mergeCell ref="A4:A7"/>
    <mergeCell ref="A8:A11"/>
    <mergeCell ref="A12:A15"/>
    <mergeCell ref="A16:A19"/>
    <mergeCell ref="A20:A23"/>
    <mergeCell ref="A24:A27"/>
  </mergeCells>
  <printOptions horizontalCentered="1"/>
  <pageMargins left="0.5905511811023623" right="0.5905511811023623" top="0.3937007874015748" bottom="0.1968503937007874" header="0.5905511811023623" footer="0.1968503937007874"/>
  <pageSetup horizontalDpi="300" verticalDpi="300" orientation="portrait" paperSize="9" scale="80" r:id="rId1"/>
  <headerFooter alignWithMargins="0">
    <oddFooter>&amp;C&amp;14- &amp;P+48 -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80"/>
  <sheetViews>
    <sheetView view="pageBreakPreview" zoomScale="90" zoomScaleNormal="75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D23" sqref="AD23"/>
    </sheetView>
  </sheetViews>
  <sheetFormatPr defaultColWidth="9.00390625" defaultRowHeight="21" customHeight="1"/>
  <cols>
    <col min="1" max="1" width="20.50390625" style="472" customWidth="1"/>
    <col min="2" max="2" width="27.50390625" style="472" customWidth="1"/>
    <col min="3" max="3" width="11.875" style="472" hidden="1" customWidth="1"/>
    <col min="4" max="4" width="12.125" style="472" hidden="1" customWidth="1"/>
    <col min="5" max="5" width="9.875" style="472" hidden="1" customWidth="1"/>
    <col min="6" max="6" width="10.375" style="472" hidden="1" customWidth="1"/>
    <col min="7" max="20" width="12.00390625" style="472" hidden="1" customWidth="1"/>
    <col min="21" max="28" width="13.625" style="472" hidden="1" customWidth="1"/>
    <col min="29" max="38" width="13.625" style="472" customWidth="1"/>
    <col min="39" max="39" width="9.00390625" style="472" customWidth="1"/>
    <col min="40" max="16384" width="9.00390625" style="472" customWidth="1"/>
  </cols>
  <sheetData>
    <row r="1" ht="24.75" customHeight="1">
      <c r="A1" s="1"/>
    </row>
    <row r="2" ht="24.75" customHeight="1">
      <c r="A2" s="473" t="s">
        <v>208</v>
      </c>
    </row>
    <row r="3" spans="1:38" ht="24.75" customHeight="1" thickBot="1">
      <c r="A3" s="472" t="s">
        <v>209</v>
      </c>
      <c r="D3" s="474"/>
      <c r="F3" s="474"/>
      <c r="H3" s="474"/>
      <c r="I3" s="474"/>
      <c r="J3" s="474"/>
      <c r="L3" s="474"/>
      <c r="N3" s="474"/>
      <c r="P3" s="474"/>
      <c r="R3" s="474"/>
      <c r="T3" s="474"/>
      <c r="V3" s="474"/>
      <c r="W3" s="474"/>
      <c r="X3" s="474"/>
      <c r="Z3" s="474"/>
      <c r="AB3" s="474"/>
      <c r="AD3" s="474"/>
      <c r="AF3" s="474"/>
      <c r="AH3" s="474"/>
      <c r="AJ3" s="474"/>
      <c r="AL3" s="474" t="s">
        <v>47</v>
      </c>
    </row>
    <row r="4" spans="1:38" ht="27.75" customHeight="1">
      <c r="A4" s="898" t="s">
        <v>210</v>
      </c>
      <c r="B4" s="899"/>
      <c r="C4" s="838" t="s">
        <v>85</v>
      </c>
      <c r="D4" s="838"/>
      <c r="E4" s="838" t="s">
        <v>86</v>
      </c>
      <c r="F4" s="838"/>
      <c r="G4" s="902" t="s">
        <v>87</v>
      </c>
      <c r="H4" s="902"/>
      <c r="I4" s="838" t="s">
        <v>88</v>
      </c>
      <c r="J4" s="838"/>
      <c r="K4" s="838" t="s">
        <v>89</v>
      </c>
      <c r="L4" s="838"/>
      <c r="M4" s="838" t="s">
        <v>90</v>
      </c>
      <c r="N4" s="838"/>
      <c r="O4" s="838" t="s">
        <v>91</v>
      </c>
      <c r="P4" s="903"/>
      <c r="Q4" s="838" t="s">
        <v>92</v>
      </c>
      <c r="R4" s="903"/>
      <c r="S4" s="838" t="s">
        <v>171</v>
      </c>
      <c r="T4" s="838"/>
      <c r="U4" s="903" t="s">
        <v>26</v>
      </c>
      <c r="V4" s="904"/>
      <c r="W4" s="903" t="s">
        <v>139</v>
      </c>
      <c r="X4" s="902"/>
      <c r="Y4" s="903" t="s">
        <v>140</v>
      </c>
      <c r="Z4" s="902"/>
      <c r="AA4" s="904" t="s">
        <v>32</v>
      </c>
      <c r="AB4" s="904"/>
      <c r="AC4" s="905" t="s">
        <v>211</v>
      </c>
      <c r="AD4" s="904"/>
      <c r="AE4" s="905" t="s">
        <v>143</v>
      </c>
      <c r="AF4" s="904"/>
      <c r="AG4" s="905" t="s">
        <v>144</v>
      </c>
      <c r="AH4" s="904"/>
      <c r="AI4" s="905" t="s">
        <v>39</v>
      </c>
      <c r="AJ4" s="904"/>
      <c r="AK4" s="906" t="s">
        <v>42</v>
      </c>
      <c r="AL4" s="907"/>
    </row>
    <row r="5" spans="1:38" ht="27.75" customHeight="1">
      <c r="A5" s="900"/>
      <c r="B5" s="901"/>
      <c r="C5" s="475" t="s">
        <v>164</v>
      </c>
      <c r="D5" s="475" t="s">
        <v>74</v>
      </c>
      <c r="E5" s="475" t="s">
        <v>164</v>
      </c>
      <c r="F5" s="475" t="s">
        <v>74</v>
      </c>
      <c r="G5" s="476" t="s">
        <v>164</v>
      </c>
      <c r="H5" s="476" t="s">
        <v>74</v>
      </c>
      <c r="I5" s="475" t="s">
        <v>164</v>
      </c>
      <c r="J5" s="475" t="s">
        <v>74</v>
      </c>
      <c r="K5" s="475" t="s">
        <v>164</v>
      </c>
      <c r="L5" s="475" t="s">
        <v>74</v>
      </c>
      <c r="M5" s="475" t="s">
        <v>164</v>
      </c>
      <c r="N5" s="475" t="s">
        <v>74</v>
      </c>
      <c r="O5" s="475" t="s">
        <v>164</v>
      </c>
      <c r="P5" s="477" t="s">
        <v>74</v>
      </c>
      <c r="Q5" s="475" t="s">
        <v>164</v>
      </c>
      <c r="R5" s="477" t="s">
        <v>74</v>
      </c>
      <c r="S5" s="475" t="s">
        <v>164</v>
      </c>
      <c r="T5" s="475" t="s">
        <v>74</v>
      </c>
      <c r="U5" s="476" t="s">
        <v>212</v>
      </c>
      <c r="V5" s="478" t="s">
        <v>213</v>
      </c>
      <c r="W5" s="475" t="s">
        <v>212</v>
      </c>
      <c r="X5" s="476" t="s">
        <v>213</v>
      </c>
      <c r="Y5" s="475" t="s">
        <v>212</v>
      </c>
      <c r="Z5" s="476" t="s">
        <v>213</v>
      </c>
      <c r="AA5" s="476" t="s">
        <v>212</v>
      </c>
      <c r="AB5" s="478" t="s">
        <v>213</v>
      </c>
      <c r="AC5" s="475" t="s">
        <v>212</v>
      </c>
      <c r="AD5" s="478" t="s">
        <v>213</v>
      </c>
      <c r="AE5" s="475" t="s">
        <v>212</v>
      </c>
      <c r="AF5" s="478" t="s">
        <v>213</v>
      </c>
      <c r="AG5" s="475" t="s">
        <v>212</v>
      </c>
      <c r="AH5" s="478" t="s">
        <v>213</v>
      </c>
      <c r="AI5" s="475" t="s">
        <v>212</v>
      </c>
      <c r="AJ5" s="478" t="s">
        <v>213</v>
      </c>
      <c r="AK5" s="479" t="s">
        <v>212</v>
      </c>
      <c r="AL5" s="480" t="s">
        <v>213</v>
      </c>
    </row>
    <row r="6" spans="1:38" ht="27.75" customHeight="1">
      <c r="A6" s="481" t="s">
        <v>214</v>
      </c>
      <c r="B6" s="482" t="s">
        <v>215</v>
      </c>
      <c r="C6" s="483">
        <v>337484</v>
      </c>
      <c r="D6" s="483">
        <v>117221</v>
      </c>
      <c r="E6" s="483">
        <v>308906</v>
      </c>
      <c r="F6" s="483">
        <v>108117</v>
      </c>
      <c r="G6" s="484">
        <v>289064</v>
      </c>
      <c r="H6" s="484">
        <v>101172</v>
      </c>
      <c r="I6" s="483">
        <v>273902</v>
      </c>
      <c r="J6" s="483">
        <v>95866</v>
      </c>
      <c r="K6" s="260">
        <v>272902</v>
      </c>
      <c r="L6" s="260">
        <v>95516</v>
      </c>
      <c r="M6" s="260">
        <v>236270</v>
      </c>
      <c r="N6" s="260">
        <v>82426</v>
      </c>
      <c r="O6" s="260">
        <v>230416</v>
      </c>
      <c r="P6" s="269">
        <v>80645</v>
      </c>
      <c r="Q6" s="260">
        <v>217800</v>
      </c>
      <c r="R6" s="269">
        <v>76230</v>
      </c>
      <c r="S6" s="260">
        <v>207636</v>
      </c>
      <c r="T6" s="260">
        <v>72672</v>
      </c>
      <c r="U6" s="485">
        <v>200454</v>
      </c>
      <c r="V6" s="486">
        <v>70159</v>
      </c>
      <c r="W6" s="254">
        <v>193270</v>
      </c>
      <c r="X6" s="487">
        <v>67645</v>
      </c>
      <c r="Y6" s="254">
        <v>190488</v>
      </c>
      <c r="Z6" s="487">
        <v>66670</v>
      </c>
      <c r="AA6" s="488">
        <v>188516</v>
      </c>
      <c r="AB6" s="489">
        <v>65981</v>
      </c>
      <c r="AC6" s="271">
        <v>187510</v>
      </c>
      <c r="AD6" s="133">
        <v>65628</v>
      </c>
      <c r="AE6" s="271">
        <v>188620</v>
      </c>
      <c r="AF6" s="133">
        <v>66017</v>
      </c>
      <c r="AG6" s="271">
        <v>187414</v>
      </c>
      <c r="AH6" s="133">
        <v>65595</v>
      </c>
      <c r="AI6" s="271">
        <v>187222</v>
      </c>
      <c r="AJ6" s="133">
        <v>65528</v>
      </c>
      <c r="AK6" s="271">
        <v>185182</v>
      </c>
      <c r="AL6" s="490">
        <v>64814</v>
      </c>
    </row>
    <row r="7" spans="1:38" ht="27.75" customHeight="1">
      <c r="A7" s="491" t="s">
        <v>216</v>
      </c>
      <c r="B7" s="492" t="s">
        <v>217</v>
      </c>
      <c r="C7" s="493">
        <v>0</v>
      </c>
      <c r="D7" s="493">
        <v>0</v>
      </c>
      <c r="E7" s="493">
        <v>0</v>
      </c>
      <c r="F7" s="493">
        <v>0</v>
      </c>
      <c r="G7" s="494">
        <v>0</v>
      </c>
      <c r="H7" s="494">
        <v>0</v>
      </c>
      <c r="I7" s="494">
        <v>0</v>
      </c>
      <c r="J7" s="494">
        <v>0</v>
      </c>
      <c r="K7" s="494">
        <v>0</v>
      </c>
      <c r="L7" s="494">
        <v>0</v>
      </c>
      <c r="M7" s="494">
        <v>0</v>
      </c>
      <c r="N7" s="494">
        <v>0</v>
      </c>
      <c r="O7" s="495">
        <v>0</v>
      </c>
      <c r="P7" s="496">
        <v>0</v>
      </c>
      <c r="Q7" s="495">
        <v>0</v>
      </c>
      <c r="R7" s="496">
        <v>0</v>
      </c>
      <c r="S7" s="495">
        <v>0</v>
      </c>
      <c r="T7" s="495">
        <v>0</v>
      </c>
      <c r="U7" s="497" t="s">
        <v>172</v>
      </c>
      <c r="V7" s="498" t="s">
        <v>172</v>
      </c>
      <c r="W7" s="499" t="s">
        <v>173</v>
      </c>
      <c r="X7" s="500" t="s">
        <v>172</v>
      </c>
      <c r="Y7" s="499">
        <v>38630</v>
      </c>
      <c r="Z7" s="500">
        <v>13520</v>
      </c>
      <c r="AA7" s="501">
        <v>36956</v>
      </c>
      <c r="AB7" s="502">
        <v>12934</v>
      </c>
      <c r="AC7" s="503">
        <v>36854</v>
      </c>
      <c r="AD7" s="425">
        <v>12899</v>
      </c>
      <c r="AE7" s="503">
        <v>35950</v>
      </c>
      <c r="AF7" s="425">
        <v>12583</v>
      </c>
      <c r="AG7" s="503">
        <v>35910</v>
      </c>
      <c r="AH7" s="425">
        <v>12569</v>
      </c>
      <c r="AI7" s="503">
        <v>35820</v>
      </c>
      <c r="AJ7" s="425">
        <v>12537</v>
      </c>
      <c r="AK7" s="503">
        <v>35110</v>
      </c>
      <c r="AL7" s="504">
        <v>12289</v>
      </c>
    </row>
    <row r="8" spans="1:38" ht="27.75" customHeight="1">
      <c r="A8" s="505" t="s">
        <v>218</v>
      </c>
      <c r="B8" s="506" t="s">
        <v>219</v>
      </c>
      <c r="C8" s="493">
        <v>0</v>
      </c>
      <c r="D8" s="493">
        <v>0</v>
      </c>
      <c r="E8" s="493">
        <v>0</v>
      </c>
      <c r="F8" s="493">
        <v>0</v>
      </c>
      <c r="G8" s="494">
        <v>0</v>
      </c>
      <c r="H8" s="494">
        <v>0</v>
      </c>
      <c r="I8" s="494">
        <v>0</v>
      </c>
      <c r="J8" s="494">
        <v>0</v>
      </c>
      <c r="K8" s="495">
        <v>796440</v>
      </c>
      <c r="L8" s="495">
        <v>278754</v>
      </c>
      <c r="M8" s="495">
        <v>793652</v>
      </c>
      <c r="N8" s="495">
        <v>277352</v>
      </c>
      <c r="O8" s="495">
        <v>777516</v>
      </c>
      <c r="P8" s="496">
        <v>272087</v>
      </c>
      <c r="Q8" s="495">
        <v>749976</v>
      </c>
      <c r="R8" s="496">
        <v>262449</v>
      </c>
      <c r="S8" s="495">
        <v>722048</v>
      </c>
      <c r="T8" s="495">
        <v>252716</v>
      </c>
      <c r="U8" s="497">
        <v>752257</v>
      </c>
      <c r="V8" s="498">
        <v>315948</v>
      </c>
      <c r="W8" s="272">
        <v>881470</v>
      </c>
      <c r="X8" s="507">
        <v>370217</v>
      </c>
      <c r="Y8" s="272">
        <v>890217</v>
      </c>
      <c r="Z8" s="507">
        <v>365310</v>
      </c>
      <c r="AA8" s="508">
        <v>882543</v>
      </c>
      <c r="AB8" s="509">
        <v>483585</v>
      </c>
      <c r="AC8" s="273">
        <v>890409</v>
      </c>
      <c r="AD8" s="130">
        <v>488472</v>
      </c>
      <c r="AE8" s="273">
        <v>870244</v>
      </c>
      <c r="AF8" s="130">
        <v>507643</v>
      </c>
      <c r="AG8" s="273">
        <v>868637</v>
      </c>
      <c r="AH8" s="130">
        <v>506705</v>
      </c>
      <c r="AI8" s="503" t="s">
        <v>172</v>
      </c>
      <c r="AJ8" s="425" t="s">
        <v>172</v>
      </c>
      <c r="AK8" s="503" t="s">
        <v>173</v>
      </c>
      <c r="AL8" s="504" t="s">
        <v>173</v>
      </c>
    </row>
    <row r="9" spans="1:38" ht="27.75" customHeight="1" hidden="1">
      <c r="A9" s="510" t="s">
        <v>220</v>
      </c>
      <c r="B9" s="511" t="s">
        <v>221</v>
      </c>
      <c r="C9" s="493">
        <v>0</v>
      </c>
      <c r="D9" s="493">
        <v>0</v>
      </c>
      <c r="E9" s="493">
        <v>0</v>
      </c>
      <c r="F9" s="493">
        <v>0</v>
      </c>
      <c r="G9" s="494">
        <v>0</v>
      </c>
      <c r="H9" s="494">
        <v>0</v>
      </c>
      <c r="I9" s="494">
        <v>0</v>
      </c>
      <c r="J9" s="494">
        <v>0</v>
      </c>
      <c r="K9" s="495">
        <v>87024</v>
      </c>
      <c r="L9" s="495">
        <v>30458</v>
      </c>
      <c r="M9" s="495">
        <v>112410</v>
      </c>
      <c r="N9" s="495">
        <v>39344</v>
      </c>
      <c r="O9" s="495">
        <v>0</v>
      </c>
      <c r="P9" s="496">
        <v>0</v>
      </c>
      <c r="Q9" s="495">
        <v>0</v>
      </c>
      <c r="R9" s="496">
        <v>0</v>
      </c>
      <c r="S9" s="495">
        <v>0</v>
      </c>
      <c r="T9" s="495">
        <v>0</v>
      </c>
      <c r="U9" s="497" t="s">
        <v>172</v>
      </c>
      <c r="V9" s="498" t="s">
        <v>172</v>
      </c>
      <c r="W9" s="499" t="s">
        <v>173</v>
      </c>
      <c r="X9" s="500" t="s">
        <v>172</v>
      </c>
      <c r="Y9" s="499" t="s">
        <v>173</v>
      </c>
      <c r="Z9" s="500" t="s">
        <v>172</v>
      </c>
      <c r="AA9" s="501" t="s">
        <v>173</v>
      </c>
      <c r="AB9" s="502" t="s">
        <v>172</v>
      </c>
      <c r="AC9" s="503" t="s">
        <v>173</v>
      </c>
      <c r="AD9" s="425" t="s">
        <v>172</v>
      </c>
      <c r="AE9" s="503" t="s">
        <v>173</v>
      </c>
      <c r="AF9" s="425" t="s">
        <v>172</v>
      </c>
      <c r="AG9" s="503" t="s">
        <v>173</v>
      </c>
      <c r="AH9" s="425" t="s">
        <v>172</v>
      </c>
      <c r="AI9" s="503"/>
      <c r="AJ9" s="425"/>
      <c r="AK9" s="503"/>
      <c r="AL9" s="504"/>
    </row>
    <row r="10" spans="1:38" ht="27.75" customHeight="1">
      <c r="A10" s="510" t="s">
        <v>222</v>
      </c>
      <c r="B10" s="512" t="s">
        <v>223</v>
      </c>
      <c r="C10" s="493">
        <v>0</v>
      </c>
      <c r="D10" s="493">
        <v>0</v>
      </c>
      <c r="E10" s="493">
        <v>0</v>
      </c>
      <c r="F10" s="493">
        <v>0</v>
      </c>
      <c r="G10" s="494">
        <v>0</v>
      </c>
      <c r="H10" s="494">
        <v>0</v>
      </c>
      <c r="I10" s="494">
        <v>0</v>
      </c>
      <c r="J10" s="494">
        <v>0</v>
      </c>
      <c r="K10" s="494">
        <v>0</v>
      </c>
      <c r="L10" s="494">
        <v>0</v>
      </c>
      <c r="M10" s="494">
        <v>0</v>
      </c>
      <c r="N10" s="494">
        <v>0</v>
      </c>
      <c r="O10" s="495">
        <v>0</v>
      </c>
      <c r="P10" s="496">
        <v>0</v>
      </c>
      <c r="Q10" s="495">
        <v>0</v>
      </c>
      <c r="R10" s="496">
        <v>0</v>
      </c>
      <c r="S10" s="495">
        <v>0</v>
      </c>
      <c r="T10" s="495">
        <v>0</v>
      </c>
      <c r="U10" s="497" t="s">
        <v>172</v>
      </c>
      <c r="V10" s="498" t="s">
        <v>172</v>
      </c>
      <c r="W10" s="499" t="s">
        <v>173</v>
      </c>
      <c r="X10" s="500" t="s">
        <v>172</v>
      </c>
      <c r="Y10" s="499" t="s">
        <v>173</v>
      </c>
      <c r="Z10" s="500" t="s">
        <v>172</v>
      </c>
      <c r="AA10" s="501" t="s">
        <v>173</v>
      </c>
      <c r="AB10" s="502" t="s">
        <v>172</v>
      </c>
      <c r="AC10" s="503">
        <v>3568</v>
      </c>
      <c r="AD10" s="425">
        <v>1784</v>
      </c>
      <c r="AE10" s="503">
        <v>7450</v>
      </c>
      <c r="AF10" s="425">
        <v>3725</v>
      </c>
      <c r="AG10" s="503">
        <v>8746</v>
      </c>
      <c r="AH10" s="425">
        <v>4373</v>
      </c>
      <c r="AI10" s="503">
        <v>5822</v>
      </c>
      <c r="AJ10" s="425">
        <v>2911</v>
      </c>
      <c r="AK10" s="503">
        <v>9112</v>
      </c>
      <c r="AL10" s="504">
        <v>4556</v>
      </c>
    </row>
    <row r="11" spans="1:38" ht="27.75" customHeight="1">
      <c r="A11" s="510" t="s">
        <v>224</v>
      </c>
      <c r="B11" s="513" t="s">
        <v>225</v>
      </c>
      <c r="C11" s="493">
        <v>0</v>
      </c>
      <c r="D11" s="493">
        <v>0</v>
      </c>
      <c r="E11" s="493">
        <v>0</v>
      </c>
      <c r="F11" s="493">
        <v>0</v>
      </c>
      <c r="G11" s="494">
        <v>0</v>
      </c>
      <c r="H11" s="494">
        <v>0</v>
      </c>
      <c r="I11" s="494">
        <v>0</v>
      </c>
      <c r="J11" s="494">
        <v>0</v>
      </c>
      <c r="K11" s="494">
        <v>0</v>
      </c>
      <c r="L11" s="494">
        <v>0</v>
      </c>
      <c r="M11" s="494">
        <v>0</v>
      </c>
      <c r="N11" s="494">
        <v>0</v>
      </c>
      <c r="O11" s="495">
        <v>0</v>
      </c>
      <c r="P11" s="496">
        <v>0</v>
      </c>
      <c r="Q11" s="495">
        <v>0</v>
      </c>
      <c r="R11" s="496">
        <v>0</v>
      </c>
      <c r="S11" s="495">
        <v>0</v>
      </c>
      <c r="T11" s="495">
        <v>0</v>
      </c>
      <c r="U11" s="497" t="s">
        <v>172</v>
      </c>
      <c r="V11" s="498" t="s">
        <v>172</v>
      </c>
      <c r="W11" s="499" t="s">
        <v>173</v>
      </c>
      <c r="X11" s="500" t="s">
        <v>172</v>
      </c>
      <c r="Y11" s="499" t="s">
        <v>173</v>
      </c>
      <c r="Z11" s="500" t="s">
        <v>172</v>
      </c>
      <c r="AA11" s="501" t="s">
        <v>173</v>
      </c>
      <c r="AB11" s="502" t="s">
        <v>172</v>
      </c>
      <c r="AC11" s="499" t="s">
        <v>173</v>
      </c>
      <c r="AD11" s="502" t="s">
        <v>172</v>
      </c>
      <c r="AE11" s="503">
        <v>2274</v>
      </c>
      <c r="AF11" s="425">
        <v>1076</v>
      </c>
      <c r="AG11" s="503">
        <v>4886</v>
      </c>
      <c r="AH11" s="425">
        <v>1703</v>
      </c>
      <c r="AI11" s="503">
        <v>19166</v>
      </c>
      <c r="AJ11" s="425">
        <v>6678</v>
      </c>
      <c r="AK11" s="503">
        <v>23774</v>
      </c>
      <c r="AL11" s="504">
        <v>8292</v>
      </c>
    </row>
    <row r="12" spans="1:38" ht="27.75" customHeight="1">
      <c r="A12" s="514" t="s">
        <v>226</v>
      </c>
      <c r="B12" s="267" t="s">
        <v>227</v>
      </c>
      <c r="C12" s="251">
        <v>937880</v>
      </c>
      <c r="D12" s="251">
        <v>384672</v>
      </c>
      <c r="E12" s="245">
        <v>857922</v>
      </c>
      <c r="F12" s="245">
        <v>360327</v>
      </c>
      <c r="G12" s="515">
        <v>809750</v>
      </c>
      <c r="H12" s="515">
        <v>340095</v>
      </c>
      <c r="I12" s="245">
        <v>776462</v>
      </c>
      <c r="J12" s="245">
        <v>326114</v>
      </c>
      <c r="K12" s="255">
        <v>773131</v>
      </c>
      <c r="L12" s="255">
        <v>324716</v>
      </c>
      <c r="M12" s="255">
        <v>785455</v>
      </c>
      <c r="N12" s="255">
        <v>324716</v>
      </c>
      <c r="O12" s="255">
        <v>779952</v>
      </c>
      <c r="P12" s="516">
        <v>324716</v>
      </c>
      <c r="Q12" s="255">
        <v>776020</v>
      </c>
      <c r="R12" s="516">
        <v>324716</v>
      </c>
      <c r="S12" s="255">
        <v>772913</v>
      </c>
      <c r="T12" s="255">
        <v>323027</v>
      </c>
      <c r="U12" s="517">
        <v>762027</v>
      </c>
      <c r="V12" s="518">
        <v>320051</v>
      </c>
      <c r="W12" s="272">
        <v>753474</v>
      </c>
      <c r="X12" s="507">
        <v>316459</v>
      </c>
      <c r="Y12" s="272">
        <v>753954</v>
      </c>
      <c r="Z12" s="507">
        <v>316459</v>
      </c>
      <c r="AA12" s="508">
        <v>752445</v>
      </c>
      <c r="AB12" s="509">
        <v>316027</v>
      </c>
      <c r="AC12" s="273">
        <v>750935</v>
      </c>
      <c r="AD12" s="130">
        <v>315393</v>
      </c>
      <c r="AE12" s="273">
        <v>768432</v>
      </c>
      <c r="AF12" s="130">
        <v>315393</v>
      </c>
      <c r="AG12" s="273">
        <v>767662</v>
      </c>
      <c r="AH12" s="130">
        <v>315393</v>
      </c>
      <c r="AI12" s="273">
        <v>767662</v>
      </c>
      <c r="AJ12" s="130">
        <v>315393</v>
      </c>
      <c r="AK12" s="273">
        <v>779647</v>
      </c>
      <c r="AL12" s="519">
        <v>315393</v>
      </c>
    </row>
    <row r="13" spans="1:38" ht="27.75" customHeight="1" hidden="1">
      <c r="A13" s="510" t="s">
        <v>228</v>
      </c>
      <c r="B13" s="511" t="s">
        <v>221</v>
      </c>
      <c r="C13" s="520">
        <v>0</v>
      </c>
      <c r="D13" s="520">
        <v>0</v>
      </c>
      <c r="E13" s="521">
        <v>0</v>
      </c>
      <c r="F13" s="521">
        <v>0</v>
      </c>
      <c r="G13" s="507">
        <v>93447</v>
      </c>
      <c r="H13" s="507">
        <v>21804</v>
      </c>
      <c r="I13" s="251">
        <v>89748</v>
      </c>
      <c r="J13" s="251">
        <v>31412</v>
      </c>
      <c r="K13" s="522">
        <v>0</v>
      </c>
      <c r="L13" s="522">
        <v>0</v>
      </c>
      <c r="M13" s="522">
        <v>0</v>
      </c>
      <c r="N13" s="522">
        <v>0</v>
      </c>
      <c r="O13" s="522">
        <v>0</v>
      </c>
      <c r="P13" s="523">
        <v>0</v>
      </c>
      <c r="Q13" s="522">
        <v>0</v>
      </c>
      <c r="R13" s="523">
        <v>0</v>
      </c>
      <c r="S13" s="522">
        <v>0</v>
      </c>
      <c r="T13" s="522">
        <v>0</v>
      </c>
      <c r="U13" s="524" t="s">
        <v>172</v>
      </c>
      <c r="V13" s="525" t="s">
        <v>172</v>
      </c>
      <c r="W13" s="499" t="s">
        <v>172</v>
      </c>
      <c r="X13" s="500" t="s">
        <v>172</v>
      </c>
      <c r="Y13" s="499" t="s">
        <v>172</v>
      </c>
      <c r="Z13" s="500" t="s">
        <v>172</v>
      </c>
      <c r="AA13" s="501" t="s">
        <v>172</v>
      </c>
      <c r="AB13" s="502" t="s">
        <v>172</v>
      </c>
      <c r="AC13" s="503" t="s">
        <v>172</v>
      </c>
      <c r="AD13" s="425" t="s">
        <v>172</v>
      </c>
      <c r="AE13" s="503" t="s">
        <v>172</v>
      </c>
      <c r="AF13" s="425" t="s">
        <v>172</v>
      </c>
      <c r="AG13" s="503" t="s">
        <v>172</v>
      </c>
      <c r="AH13" s="425" t="s">
        <v>172</v>
      </c>
      <c r="AI13" s="503" t="s">
        <v>172</v>
      </c>
      <c r="AJ13" s="425" t="s">
        <v>172</v>
      </c>
      <c r="AK13" s="503" t="s">
        <v>172</v>
      </c>
      <c r="AL13" s="526" t="s">
        <v>172</v>
      </c>
    </row>
    <row r="14" spans="1:38" ht="27.75" customHeight="1">
      <c r="A14" s="908" t="s">
        <v>55</v>
      </c>
      <c r="B14" s="846"/>
      <c r="C14" s="251">
        <f>SUM(C6:C13)</f>
        <v>1275364</v>
      </c>
      <c r="D14" s="251">
        <f>SUM(D6:D13)</f>
        <v>501893</v>
      </c>
      <c r="E14" s="251">
        <f>SUM(E6:E13)</f>
        <v>1166828</v>
      </c>
      <c r="F14" s="251">
        <f>SUM(F6:F13)</f>
        <v>468444</v>
      </c>
      <c r="G14" s="251">
        <f>SUM(G6:G13)</f>
        <v>1192261</v>
      </c>
      <c r="H14" s="251">
        <f aca="true" t="shared" si="0" ref="H14:V14">SUM(H6:H13)</f>
        <v>463071</v>
      </c>
      <c r="I14" s="251">
        <f t="shared" si="0"/>
        <v>1140112</v>
      </c>
      <c r="J14" s="251">
        <f t="shared" si="0"/>
        <v>453392</v>
      </c>
      <c r="K14" s="251">
        <f t="shared" si="0"/>
        <v>1929497</v>
      </c>
      <c r="L14" s="251">
        <f t="shared" si="0"/>
        <v>729444</v>
      </c>
      <c r="M14" s="272">
        <f t="shared" si="0"/>
        <v>1927787</v>
      </c>
      <c r="N14" s="272">
        <f t="shared" si="0"/>
        <v>723838</v>
      </c>
      <c r="O14" s="272">
        <f t="shared" si="0"/>
        <v>1787884</v>
      </c>
      <c r="P14" s="272">
        <f t="shared" si="0"/>
        <v>677448</v>
      </c>
      <c r="Q14" s="527">
        <f t="shared" si="0"/>
        <v>1743796</v>
      </c>
      <c r="R14" s="527">
        <f t="shared" si="0"/>
        <v>663395</v>
      </c>
      <c r="S14" s="527">
        <f t="shared" si="0"/>
        <v>1702597</v>
      </c>
      <c r="T14" s="527">
        <f t="shared" si="0"/>
        <v>648415</v>
      </c>
      <c r="U14" s="527">
        <f t="shared" si="0"/>
        <v>1714738</v>
      </c>
      <c r="V14" s="527">
        <f t="shared" si="0"/>
        <v>706158</v>
      </c>
      <c r="W14" s="272">
        <f aca="true" t="shared" si="1" ref="W14:AL14">SUM(W6:W13)</f>
        <v>1828214</v>
      </c>
      <c r="X14" s="508">
        <f t="shared" si="1"/>
        <v>754321</v>
      </c>
      <c r="Y14" s="272">
        <f t="shared" si="1"/>
        <v>1873289</v>
      </c>
      <c r="Z14" s="507">
        <f t="shared" si="1"/>
        <v>761959</v>
      </c>
      <c r="AA14" s="508">
        <f t="shared" si="1"/>
        <v>1860460</v>
      </c>
      <c r="AB14" s="509">
        <f t="shared" si="1"/>
        <v>878527</v>
      </c>
      <c r="AC14" s="273">
        <f t="shared" si="1"/>
        <v>1869276</v>
      </c>
      <c r="AD14" s="130">
        <f t="shared" si="1"/>
        <v>884176</v>
      </c>
      <c r="AE14" s="273">
        <f t="shared" si="1"/>
        <v>1872970</v>
      </c>
      <c r="AF14" s="130">
        <f t="shared" si="1"/>
        <v>906437</v>
      </c>
      <c r="AG14" s="273">
        <f t="shared" si="1"/>
        <v>1873255</v>
      </c>
      <c r="AH14" s="130">
        <f t="shared" si="1"/>
        <v>906338</v>
      </c>
      <c r="AI14" s="273">
        <f t="shared" si="1"/>
        <v>1015692</v>
      </c>
      <c r="AJ14" s="130">
        <f t="shared" si="1"/>
        <v>403047</v>
      </c>
      <c r="AK14" s="273">
        <f t="shared" si="1"/>
        <v>1032825</v>
      </c>
      <c r="AL14" s="528">
        <f t="shared" si="1"/>
        <v>405344</v>
      </c>
    </row>
    <row r="15" spans="1:38" ht="27.75" customHeight="1" thickBot="1">
      <c r="A15" s="909" t="s">
        <v>66</v>
      </c>
      <c r="B15" s="861"/>
      <c r="C15" s="529">
        <v>90.7</v>
      </c>
      <c r="D15" s="529">
        <v>98.1</v>
      </c>
      <c r="E15" s="530">
        <f>ROUND((E14/C14)*100,1)</f>
        <v>91.5</v>
      </c>
      <c r="F15" s="530">
        <f>ROUND((F14/D14)*100,1)</f>
        <v>93.3</v>
      </c>
      <c r="G15" s="530">
        <f aca="true" t="shared" si="2" ref="G15:AL15">ROUND((G14/E14)*100,1)</f>
        <v>102.2</v>
      </c>
      <c r="H15" s="530">
        <f t="shared" si="2"/>
        <v>98.9</v>
      </c>
      <c r="I15" s="531">
        <f t="shared" si="2"/>
        <v>95.6</v>
      </c>
      <c r="J15" s="531">
        <f t="shared" si="2"/>
        <v>97.9</v>
      </c>
      <c r="K15" s="530">
        <f t="shared" si="2"/>
        <v>169.2</v>
      </c>
      <c r="L15" s="530">
        <f t="shared" si="2"/>
        <v>160.9</v>
      </c>
      <c r="M15" s="280">
        <f t="shared" si="2"/>
        <v>99.9</v>
      </c>
      <c r="N15" s="280">
        <f t="shared" si="2"/>
        <v>99.2</v>
      </c>
      <c r="O15" s="280">
        <f t="shared" si="2"/>
        <v>92.7</v>
      </c>
      <c r="P15" s="280">
        <f t="shared" si="2"/>
        <v>93.6</v>
      </c>
      <c r="Q15" s="280">
        <f t="shared" si="2"/>
        <v>97.5</v>
      </c>
      <c r="R15" s="532">
        <f t="shared" si="2"/>
        <v>97.9</v>
      </c>
      <c r="S15" s="280">
        <f t="shared" si="2"/>
        <v>97.6</v>
      </c>
      <c r="T15" s="532">
        <f t="shared" si="2"/>
        <v>97.7</v>
      </c>
      <c r="U15" s="280">
        <f t="shared" si="2"/>
        <v>100.7</v>
      </c>
      <c r="V15" s="532">
        <f t="shared" si="2"/>
        <v>108.9</v>
      </c>
      <c r="W15" s="533">
        <f t="shared" si="2"/>
        <v>106.6</v>
      </c>
      <c r="X15" s="534">
        <f t="shared" si="2"/>
        <v>106.8</v>
      </c>
      <c r="Y15" s="535">
        <f t="shared" si="2"/>
        <v>102.5</v>
      </c>
      <c r="Z15" s="536">
        <f t="shared" si="2"/>
        <v>101</v>
      </c>
      <c r="AA15" s="537">
        <f t="shared" si="2"/>
        <v>99.3</v>
      </c>
      <c r="AB15" s="538">
        <f t="shared" si="2"/>
        <v>115.3</v>
      </c>
      <c r="AC15" s="539">
        <f t="shared" si="2"/>
        <v>100.5</v>
      </c>
      <c r="AD15" s="139">
        <f t="shared" si="2"/>
        <v>100.6</v>
      </c>
      <c r="AE15" s="539">
        <f>ROUND((AE14/AC14)*100,1)</f>
        <v>100.2</v>
      </c>
      <c r="AF15" s="139">
        <f t="shared" si="2"/>
        <v>102.5</v>
      </c>
      <c r="AG15" s="539">
        <f t="shared" si="2"/>
        <v>100</v>
      </c>
      <c r="AH15" s="139">
        <f t="shared" si="2"/>
        <v>100</v>
      </c>
      <c r="AI15" s="539">
        <f t="shared" si="2"/>
        <v>54.2</v>
      </c>
      <c r="AJ15" s="139">
        <f t="shared" si="2"/>
        <v>44.5</v>
      </c>
      <c r="AK15" s="539">
        <f t="shared" si="2"/>
        <v>101.7</v>
      </c>
      <c r="AL15" s="540">
        <f t="shared" si="2"/>
        <v>100.6</v>
      </c>
    </row>
    <row r="16" spans="1:38" ht="27.75" customHeight="1">
      <c r="A16" s="541"/>
      <c r="B16" s="541"/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543"/>
      <c r="N16" s="543"/>
      <c r="O16" s="543"/>
      <c r="P16" s="543"/>
      <c r="Q16" s="543"/>
      <c r="R16" s="543"/>
      <c r="S16" s="543"/>
      <c r="T16" s="543"/>
      <c r="U16" s="543"/>
      <c r="V16" s="543"/>
      <c r="W16" s="543"/>
      <c r="X16" s="543"/>
      <c r="Y16" s="544"/>
      <c r="Z16" s="545"/>
      <c r="AA16" s="544"/>
      <c r="AB16" s="545"/>
      <c r="AC16" s="546"/>
      <c r="AD16" s="446"/>
      <c r="AE16" s="546"/>
      <c r="AF16" s="446"/>
      <c r="AG16" s="546"/>
      <c r="AH16" s="446"/>
      <c r="AI16" s="546"/>
      <c r="AJ16" s="446"/>
      <c r="AK16" s="546"/>
      <c r="AL16" s="446"/>
    </row>
    <row r="17" spans="1:38" ht="27.75" customHeight="1">
      <c r="A17" s="541"/>
      <c r="B17" s="541"/>
      <c r="C17" s="542"/>
      <c r="D17" s="542"/>
      <c r="E17" s="542"/>
      <c r="F17" s="542"/>
      <c r="G17" s="542"/>
      <c r="H17" s="542"/>
      <c r="I17" s="542"/>
      <c r="J17" s="542"/>
      <c r="K17" s="542"/>
      <c r="L17" s="542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4"/>
      <c r="Z17" s="545"/>
      <c r="AA17" s="544"/>
      <c r="AB17" s="545"/>
      <c r="AC17" s="546"/>
      <c r="AD17" s="446"/>
      <c r="AE17" s="546"/>
      <c r="AF17" s="446"/>
      <c r="AG17" s="546"/>
      <c r="AH17" s="446"/>
      <c r="AI17" s="546"/>
      <c r="AJ17" s="446"/>
      <c r="AK17" s="546"/>
      <c r="AL17" s="446"/>
    </row>
    <row r="18" spans="2:38" ht="27.75" customHeight="1">
      <c r="B18" s="472" t="s">
        <v>108</v>
      </c>
      <c r="C18" s="472" t="s">
        <v>108</v>
      </c>
      <c r="D18" s="472" t="s">
        <v>108</v>
      </c>
      <c r="E18" s="472" t="s">
        <v>108</v>
      </c>
      <c r="F18" s="472" t="s">
        <v>108</v>
      </c>
      <c r="G18" s="472" t="s">
        <v>108</v>
      </c>
      <c r="H18" s="472" t="s">
        <v>108</v>
      </c>
      <c r="K18" s="472" t="s">
        <v>108</v>
      </c>
      <c r="L18" s="472" t="s">
        <v>108</v>
      </c>
      <c r="M18" s="547" t="s">
        <v>108</v>
      </c>
      <c r="N18" s="547" t="s">
        <v>108</v>
      </c>
      <c r="O18" s="547" t="s">
        <v>108</v>
      </c>
      <c r="P18" s="547" t="s">
        <v>108</v>
      </c>
      <c r="Q18" s="547" t="s">
        <v>108</v>
      </c>
      <c r="R18" s="547" t="s">
        <v>108</v>
      </c>
      <c r="S18" s="547"/>
      <c r="T18" s="547" t="s">
        <v>108</v>
      </c>
      <c r="U18" s="547" t="s">
        <v>108</v>
      </c>
      <c r="V18" s="547" t="s">
        <v>108</v>
      </c>
      <c r="W18" s="548"/>
      <c r="X18" s="548"/>
      <c r="Y18" s="547"/>
      <c r="AA18" s="547"/>
      <c r="AC18" s="549"/>
      <c r="AD18" s="550"/>
      <c r="AE18" s="549"/>
      <c r="AF18" s="550"/>
      <c r="AG18" s="549"/>
      <c r="AH18" s="550"/>
      <c r="AI18" s="549"/>
      <c r="AJ18" s="550"/>
      <c r="AK18" s="549"/>
      <c r="AL18" s="550"/>
    </row>
    <row r="19" spans="1:38" ht="27.75" customHeight="1" thickBot="1">
      <c r="A19" s="472" t="s">
        <v>229</v>
      </c>
      <c r="M19" s="547"/>
      <c r="N19" s="547"/>
      <c r="O19" s="547"/>
      <c r="P19" s="547"/>
      <c r="Q19" s="547"/>
      <c r="R19" s="547"/>
      <c r="S19" s="547"/>
      <c r="T19" s="547"/>
      <c r="U19" s="547"/>
      <c r="V19" s="474"/>
      <c r="W19" s="551"/>
      <c r="X19" s="552"/>
      <c r="Y19" s="547"/>
      <c r="Z19" s="474"/>
      <c r="AA19" s="547"/>
      <c r="AB19" s="474"/>
      <c r="AC19" s="549"/>
      <c r="AD19" s="553"/>
      <c r="AE19" s="549"/>
      <c r="AF19" s="553"/>
      <c r="AG19" s="549"/>
      <c r="AH19" s="553"/>
      <c r="AI19" s="549"/>
      <c r="AJ19" s="553"/>
      <c r="AK19" s="549"/>
      <c r="AL19" s="553" t="s">
        <v>47</v>
      </c>
    </row>
    <row r="20" spans="1:38" ht="27.75" customHeight="1">
      <c r="A20" s="898" t="s">
        <v>210</v>
      </c>
      <c r="B20" s="899"/>
      <c r="C20" s="838" t="s">
        <v>85</v>
      </c>
      <c r="D20" s="838"/>
      <c r="E20" s="838" t="s">
        <v>86</v>
      </c>
      <c r="F20" s="838"/>
      <c r="G20" s="902" t="s">
        <v>87</v>
      </c>
      <c r="H20" s="902"/>
      <c r="I20" s="838" t="s">
        <v>88</v>
      </c>
      <c r="J20" s="838"/>
      <c r="K20" s="910" t="s">
        <v>89</v>
      </c>
      <c r="L20" s="910"/>
      <c r="M20" s="910" t="s">
        <v>90</v>
      </c>
      <c r="N20" s="910"/>
      <c r="O20" s="910" t="s">
        <v>91</v>
      </c>
      <c r="P20" s="913"/>
      <c r="Q20" s="910" t="s">
        <v>92</v>
      </c>
      <c r="R20" s="913"/>
      <c r="S20" s="838" t="s">
        <v>171</v>
      </c>
      <c r="T20" s="838"/>
      <c r="U20" s="903" t="s">
        <v>26</v>
      </c>
      <c r="V20" s="904"/>
      <c r="W20" s="913" t="s">
        <v>139</v>
      </c>
      <c r="X20" s="914"/>
      <c r="Y20" s="913" t="s">
        <v>140</v>
      </c>
      <c r="Z20" s="914"/>
      <c r="AA20" s="915" t="s">
        <v>32</v>
      </c>
      <c r="AB20" s="915"/>
      <c r="AC20" s="906" t="s">
        <v>35</v>
      </c>
      <c r="AD20" s="911"/>
      <c r="AE20" s="906" t="s">
        <v>48</v>
      </c>
      <c r="AF20" s="911"/>
      <c r="AG20" s="906" t="s">
        <v>230</v>
      </c>
      <c r="AH20" s="911"/>
      <c r="AI20" s="906" t="s">
        <v>39</v>
      </c>
      <c r="AJ20" s="911"/>
      <c r="AK20" s="906" t="s">
        <v>42</v>
      </c>
      <c r="AL20" s="912"/>
    </row>
    <row r="21" spans="1:38" ht="27.75" customHeight="1">
      <c r="A21" s="900"/>
      <c r="B21" s="901"/>
      <c r="C21" s="475" t="s">
        <v>164</v>
      </c>
      <c r="D21" s="475" t="s">
        <v>231</v>
      </c>
      <c r="E21" s="475" t="s">
        <v>164</v>
      </c>
      <c r="F21" s="475" t="s">
        <v>231</v>
      </c>
      <c r="G21" s="476" t="s">
        <v>164</v>
      </c>
      <c r="H21" s="475" t="s">
        <v>231</v>
      </c>
      <c r="I21" s="475" t="s">
        <v>164</v>
      </c>
      <c r="J21" s="475" t="s">
        <v>231</v>
      </c>
      <c r="K21" s="479" t="s">
        <v>164</v>
      </c>
      <c r="L21" s="479" t="s">
        <v>231</v>
      </c>
      <c r="M21" s="479" t="s">
        <v>164</v>
      </c>
      <c r="N21" s="479" t="s">
        <v>231</v>
      </c>
      <c r="O21" s="479" t="s">
        <v>164</v>
      </c>
      <c r="P21" s="554" t="s">
        <v>231</v>
      </c>
      <c r="Q21" s="479" t="s">
        <v>164</v>
      </c>
      <c r="R21" s="554" t="s">
        <v>231</v>
      </c>
      <c r="S21" s="479" t="s">
        <v>164</v>
      </c>
      <c r="T21" s="479" t="s">
        <v>231</v>
      </c>
      <c r="U21" s="479" t="s">
        <v>212</v>
      </c>
      <c r="V21" s="554" t="s">
        <v>232</v>
      </c>
      <c r="W21" s="479" t="s">
        <v>212</v>
      </c>
      <c r="X21" s="476" t="s">
        <v>232</v>
      </c>
      <c r="Y21" s="479" t="s">
        <v>212</v>
      </c>
      <c r="Z21" s="476" t="s">
        <v>232</v>
      </c>
      <c r="AA21" s="555" t="s">
        <v>212</v>
      </c>
      <c r="AB21" s="478" t="s">
        <v>232</v>
      </c>
      <c r="AC21" s="556" t="s">
        <v>212</v>
      </c>
      <c r="AD21" s="557" t="s">
        <v>232</v>
      </c>
      <c r="AE21" s="556" t="s">
        <v>212</v>
      </c>
      <c r="AF21" s="557" t="s">
        <v>232</v>
      </c>
      <c r="AG21" s="556" t="s">
        <v>212</v>
      </c>
      <c r="AH21" s="557" t="s">
        <v>232</v>
      </c>
      <c r="AI21" s="556" t="s">
        <v>212</v>
      </c>
      <c r="AJ21" s="557" t="s">
        <v>232</v>
      </c>
      <c r="AK21" s="556" t="s">
        <v>212</v>
      </c>
      <c r="AL21" s="558" t="s">
        <v>232</v>
      </c>
    </row>
    <row r="22" spans="1:38" ht="27.75" customHeight="1">
      <c r="A22" s="559" t="s">
        <v>214</v>
      </c>
      <c r="B22" s="267" t="s">
        <v>233</v>
      </c>
      <c r="C22" s="248">
        <v>235508</v>
      </c>
      <c r="D22" s="248">
        <v>117342</v>
      </c>
      <c r="E22" s="560">
        <v>235508</v>
      </c>
      <c r="F22" s="560">
        <v>117342</v>
      </c>
      <c r="G22" s="560">
        <v>233060</v>
      </c>
      <c r="H22" s="560">
        <v>116118</v>
      </c>
      <c r="I22" s="560">
        <v>233060</v>
      </c>
      <c r="J22" s="560">
        <v>116118</v>
      </c>
      <c r="K22" s="561">
        <v>233060</v>
      </c>
      <c r="L22" s="561">
        <v>116118</v>
      </c>
      <c r="M22" s="561">
        <v>206091</v>
      </c>
      <c r="N22" s="561">
        <v>102633</v>
      </c>
      <c r="O22" s="561">
        <v>206091</v>
      </c>
      <c r="P22" s="562">
        <v>102633</v>
      </c>
      <c r="Q22" s="561">
        <v>206331</v>
      </c>
      <c r="R22" s="562">
        <v>102753</v>
      </c>
      <c r="S22" s="561">
        <v>205272</v>
      </c>
      <c r="T22" s="561">
        <v>102224</v>
      </c>
      <c r="U22" s="254">
        <v>205272</v>
      </c>
      <c r="V22" s="563">
        <v>102224</v>
      </c>
      <c r="W22" s="254">
        <v>205272</v>
      </c>
      <c r="X22" s="487">
        <v>102224</v>
      </c>
      <c r="Y22" s="254">
        <v>204660</v>
      </c>
      <c r="Z22" s="487">
        <v>101918</v>
      </c>
      <c r="AA22" s="488">
        <v>204660</v>
      </c>
      <c r="AB22" s="489">
        <v>101918</v>
      </c>
      <c r="AC22" s="271">
        <v>204660</v>
      </c>
      <c r="AD22" s="133">
        <v>101917</v>
      </c>
      <c r="AE22" s="271">
        <v>203614</v>
      </c>
      <c r="AF22" s="133">
        <v>101394</v>
      </c>
      <c r="AG22" s="271">
        <v>203614</v>
      </c>
      <c r="AH22" s="133">
        <v>101395</v>
      </c>
      <c r="AI22" s="271">
        <v>203614</v>
      </c>
      <c r="AJ22" s="133">
        <v>101395</v>
      </c>
      <c r="AK22" s="271">
        <v>199891</v>
      </c>
      <c r="AL22" s="490">
        <v>99533</v>
      </c>
    </row>
    <row r="23" spans="1:38" ht="27.75" customHeight="1">
      <c r="A23" s="491" t="s">
        <v>234</v>
      </c>
      <c r="B23" s="492" t="s">
        <v>235</v>
      </c>
      <c r="C23" s="521">
        <v>0</v>
      </c>
      <c r="D23" s="521">
        <v>0</v>
      </c>
      <c r="E23" s="521">
        <v>0</v>
      </c>
      <c r="F23" s="521">
        <v>0</v>
      </c>
      <c r="G23" s="251">
        <v>860</v>
      </c>
      <c r="H23" s="251">
        <v>430</v>
      </c>
      <c r="I23" s="251">
        <v>860</v>
      </c>
      <c r="J23" s="251">
        <v>430</v>
      </c>
      <c r="K23" s="272">
        <v>860</v>
      </c>
      <c r="L23" s="272">
        <v>430</v>
      </c>
      <c r="M23" s="272">
        <v>1700</v>
      </c>
      <c r="N23" s="272">
        <v>850</v>
      </c>
      <c r="O23" s="272">
        <v>1700</v>
      </c>
      <c r="P23" s="527">
        <v>850</v>
      </c>
      <c r="Q23" s="272">
        <v>1701</v>
      </c>
      <c r="R23" s="527">
        <v>850</v>
      </c>
      <c r="S23" s="272">
        <v>2241</v>
      </c>
      <c r="T23" s="272">
        <v>1120</v>
      </c>
      <c r="U23" s="272">
        <v>2241</v>
      </c>
      <c r="V23" s="527">
        <v>1120</v>
      </c>
      <c r="W23" s="272">
        <v>4370</v>
      </c>
      <c r="X23" s="507">
        <v>2185</v>
      </c>
      <c r="Y23" s="272">
        <v>21224</v>
      </c>
      <c r="Z23" s="507">
        <v>10313</v>
      </c>
      <c r="AA23" s="508">
        <v>21224</v>
      </c>
      <c r="AB23" s="509">
        <v>10209</v>
      </c>
      <c r="AC23" s="273">
        <v>21129</v>
      </c>
      <c r="AD23" s="130">
        <v>10162</v>
      </c>
      <c r="AE23" s="273">
        <v>20946</v>
      </c>
      <c r="AF23" s="130">
        <v>10072</v>
      </c>
      <c r="AG23" s="273">
        <v>23129</v>
      </c>
      <c r="AH23" s="130">
        <v>11164</v>
      </c>
      <c r="AI23" s="273">
        <v>23510</v>
      </c>
      <c r="AJ23" s="130">
        <v>11164</v>
      </c>
      <c r="AK23" s="273">
        <v>23181</v>
      </c>
      <c r="AL23" s="519">
        <v>11190</v>
      </c>
    </row>
    <row r="24" spans="1:38" ht="27.75" customHeight="1">
      <c r="A24" s="491" t="s">
        <v>236</v>
      </c>
      <c r="B24" s="492" t="s">
        <v>237</v>
      </c>
      <c r="C24" s="520"/>
      <c r="D24" s="520"/>
      <c r="E24" s="521">
        <v>0</v>
      </c>
      <c r="F24" s="521">
        <v>0</v>
      </c>
      <c r="G24" s="521">
        <v>0</v>
      </c>
      <c r="H24" s="521">
        <v>0</v>
      </c>
      <c r="I24" s="521">
        <v>0</v>
      </c>
      <c r="J24" s="521">
        <v>0</v>
      </c>
      <c r="K24" s="564">
        <v>0</v>
      </c>
      <c r="L24" s="564">
        <v>0</v>
      </c>
      <c r="M24" s="272">
        <v>4120772</v>
      </c>
      <c r="N24" s="272">
        <v>1648309</v>
      </c>
      <c r="O24" s="272">
        <v>4111252</v>
      </c>
      <c r="P24" s="527">
        <v>1644501</v>
      </c>
      <c r="Q24" s="272">
        <v>4796378</v>
      </c>
      <c r="R24" s="527">
        <v>1918551</v>
      </c>
      <c r="S24" s="272">
        <v>4347613</v>
      </c>
      <c r="T24" s="272">
        <v>1739045</v>
      </c>
      <c r="U24" s="272">
        <v>4321291</v>
      </c>
      <c r="V24" s="527">
        <v>1728517</v>
      </c>
      <c r="W24" s="272">
        <v>4346835</v>
      </c>
      <c r="X24" s="507">
        <v>1738734</v>
      </c>
      <c r="Y24" s="272">
        <v>4284459</v>
      </c>
      <c r="Z24" s="507">
        <v>1713783</v>
      </c>
      <c r="AA24" s="508">
        <v>4386513</v>
      </c>
      <c r="AB24" s="509">
        <v>1752860</v>
      </c>
      <c r="AC24" s="273">
        <v>4612880</v>
      </c>
      <c r="AD24" s="130">
        <v>1836521</v>
      </c>
      <c r="AE24" s="273">
        <v>4529341</v>
      </c>
      <c r="AF24" s="130">
        <v>1803105</v>
      </c>
      <c r="AG24" s="273">
        <v>4566100</v>
      </c>
      <c r="AH24" s="130">
        <v>1815933</v>
      </c>
      <c r="AI24" s="273">
        <v>5466562</v>
      </c>
      <c r="AJ24" s="130">
        <v>2090815</v>
      </c>
      <c r="AK24" s="273">
        <v>5392953</v>
      </c>
      <c r="AL24" s="519">
        <v>2073073</v>
      </c>
    </row>
    <row r="25" spans="1:38" ht="27.75" customHeight="1" hidden="1">
      <c r="A25" s="510" t="s">
        <v>238</v>
      </c>
      <c r="B25" s="511" t="s">
        <v>239</v>
      </c>
      <c r="C25" s="248">
        <v>5160949</v>
      </c>
      <c r="D25" s="248">
        <v>2580474</v>
      </c>
      <c r="E25" s="251">
        <v>5200106</v>
      </c>
      <c r="F25" s="251">
        <v>2594583</v>
      </c>
      <c r="G25" s="251">
        <v>4799424</v>
      </c>
      <c r="H25" s="251">
        <v>2394806</v>
      </c>
      <c r="I25" s="565">
        <v>0</v>
      </c>
      <c r="J25" s="565">
        <v>0</v>
      </c>
      <c r="K25" s="522">
        <v>0</v>
      </c>
      <c r="L25" s="522">
        <v>0</v>
      </c>
      <c r="M25" s="522">
        <v>0</v>
      </c>
      <c r="N25" s="522">
        <v>0</v>
      </c>
      <c r="O25" s="522">
        <v>0</v>
      </c>
      <c r="P25" s="523">
        <v>0</v>
      </c>
      <c r="Q25" s="522">
        <v>0</v>
      </c>
      <c r="R25" s="523">
        <v>0</v>
      </c>
      <c r="S25" s="522">
        <v>0</v>
      </c>
      <c r="T25" s="522">
        <v>0</v>
      </c>
      <c r="U25" s="564" t="s">
        <v>172</v>
      </c>
      <c r="V25" s="566" t="s">
        <v>172</v>
      </c>
      <c r="W25" s="499" t="s">
        <v>173</v>
      </c>
      <c r="X25" s="500" t="s">
        <v>173</v>
      </c>
      <c r="Y25" s="499" t="s">
        <v>173</v>
      </c>
      <c r="Z25" s="500" t="s">
        <v>173</v>
      </c>
      <c r="AA25" s="501" t="s">
        <v>173</v>
      </c>
      <c r="AB25" s="502" t="s">
        <v>173</v>
      </c>
      <c r="AC25" s="503" t="s">
        <v>173</v>
      </c>
      <c r="AD25" s="425" t="s">
        <v>173</v>
      </c>
      <c r="AE25" s="567" t="s">
        <v>173</v>
      </c>
      <c r="AF25" s="425" t="s">
        <v>173</v>
      </c>
      <c r="AG25" s="567" t="s">
        <v>173</v>
      </c>
      <c r="AH25" s="425" t="s">
        <v>173</v>
      </c>
      <c r="AI25" s="567"/>
      <c r="AJ25" s="425"/>
      <c r="AK25" s="567"/>
      <c r="AL25" s="504"/>
    </row>
    <row r="26" spans="1:38" ht="27.75" customHeight="1" hidden="1">
      <c r="A26" s="510" t="s">
        <v>240</v>
      </c>
      <c r="B26" s="568" t="s">
        <v>241</v>
      </c>
      <c r="C26" s="493">
        <v>0</v>
      </c>
      <c r="D26" s="493">
        <v>0</v>
      </c>
      <c r="E26" s="521">
        <v>0</v>
      </c>
      <c r="F26" s="521">
        <v>0</v>
      </c>
      <c r="G26" s="521">
        <v>0</v>
      </c>
      <c r="H26" s="521">
        <v>0</v>
      </c>
      <c r="I26" s="521">
        <v>5928</v>
      </c>
      <c r="J26" s="521">
        <v>1976</v>
      </c>
      <c r="K26" s="564">
        <v>5928</v>
      </c>
      <c r="L26" s="564">
        <v>1976</v>
      </c>
      <c r="M26" s="564">
        <v>5928</v>
      </c>
      <c r="N26" s="564">
        <v>1976</v>
      </c>
      <c r="O26" s="564">
        <v>5928</v>
      </c>
      <c r="P26" s="566">
        <v>1976</v>
      </c>
      <c r="Q26" s="564">
        <v>5928</v>
      </c>
      <c r="R26" s="566">
        <v>1976</v>
      </c>
      <c r="S26" s="564">
        <v>0</v>
      </c>
      <c r="T26" s="564">
        <v>0</v>
      </c>
      <c r="U26" s="564" t="s">
        <v>172</v>
      </c>
      <c r="V26" s="566" t="s">
        <v>172</v>
      </c>
      <c r="W26" s="499" t="s">
        <v>173</v>
      </c>
      <c r="X26" s="500" t="s">
        <v>173</v>
      </c>
      <c r="Y26" s="499" t="s">
        <v>173</v>
      </c>
      <c r="Z26" s="500" t="s">
        <v>173</v>
      </c>
      <c r="AA26" s="501" t="s">
        <v>173</v>
      </c>
      <c r="AB26" s="502" t="s">
        <v>173</v>
      </c>
      <c r="AC26" s="503" t="s">
        <v>173</v>
      </c>
      <c r="AD26" s="425" t="s">
        <v>173</v>
      </c>
      <c r="AE26" s="567" t="s">
        <v>173</v>
      </c>
      <c r="AF26" s="425" t="s">
        <v>173</v>
      </c>
      <c r="AG26" s="567" t="s">
        <v>173</v>
      </c>
      <c r="AH26" s="425" t="s">
        <v>173</v>
      </c>
      <c r="AI26" s="567"/>
      <c r="AJ26" s="425"/>
      <c r="AK26" s="567"/>
      <c r="AL26" s="504"/>
    </row>
    <row r="27" spans="1:38" ht="27.75" customHeight="1">
      <c r="A27" s="505" t="s">
        <v>218</v>
      </c>
      <c r="B27" s="569" t="s">
        <v>219</v>
      </c>
      <c r="C27" s="521">
        <v>0</v>
      </c>
      <c r="D27" s="521">
        <v>0</v>
      </c>
      <c r="E27" s="521">
        <v>0</v>
      </c>
      <c r="F27" s="521">
        <v>0</v>
      </c>
      <c r="G27" s="521">
        <v>0</v>
      </c>
      <c r="H27" s="521">
        <v>0</v>
      </c>
      <c r="I27" s="521">
        <v>0</v>
      </c>
      <c r="J27" s="521">
        <v>0</v>
      </c>
      <c r="K27" s="564">
        <v>1399406</v>
      </c>
      <c r="L27" s="564">
        <v>699703</v>
      </c>
      <c r="M27" s="564">
        <v>1377722</v>
      </c>
      <c r="N27" s="564">
        <v>688861</v>
      </c>
      <c r="O27" s="564">
        <v>1377721</v>
      </c>
      <c r="P27" s="566">
        <v>688861</v>
      </c>
      <c r="Q27" s="564">
        <v>1377721</v>
      </c>
      <c r="R27" s="566">
        <v>688861</v>
      </c>
      <c r="S27" s="564">
        <v>1264572</v>
      </c>
      <c r="T27" s="564">
        <v>632286</v>
      </c>
      <c r="U27" s="564">
        <v>1357755</v>
      </c>
      <c r="V27" s="566">
        <v>543102</v>
      </c>
      <c r="W27" s="272">
        <v>1634827</v>
      </c>
      <c r="X27" s="507">
        <v>653931</v>
      </c>
      <c r="Y27" s="272">
        <v>1615002</v>
      </c>
      <c r="Z27" s="507">
        <v>646001</v>
      </c>
      <c r="AA27" s="508">
        <v>1615002</v>
      </c>
      <c r="AB27" s="509">
        <v>323000</v>
      </c>
      <c r="AC27" s="273">
        <v>1731701</v>
      </c>
      <c r="AD27" s="130">
        <v>330772</v>
      </c>
      <c r="AE27" s="273">
        <v>1718177</v>
      </c>
      <c r="AF27" s="130">
        <v>285407</v>
      </c>
      <c r="AG27" s="273">
        <v>1718177</v>
      </c>
      <c r="AH27" s="130">
        <v>273502</v>
      </c>
      <c r="AI27" s="503" t="s">
        <v>173</v>
      </c>
      <c r="AJ27" s="425" t="s">
        <v>172</v>
      </c>
      <c r="AK27" s="503" t="s">
        <v>173</v>
      </c>
      <c r="AL27" s="504" t="s">
        <v>173</v>
      </c>
    </row>
    <row r="28" spans="1:38" ht="27.75" customHeight="1">
      <c r="A28" s="570" t="s">
        <v>224</v>
      </c>
      <c r="B28" s="571" t="s">
        <v>225</v>
      </c>
      <c r="C28" s="521">
        <v>0</v>
      </c>
      <c r="D28" s="521">
        <v>0</v>
      </c>
      <c r="E28" s="521">
        <v>0</v>
      </c>
      <c r="F28" s="521">
        <v>0</v>
      </c>
      <c r="G28" s="521">
        <v>0</v>
      </c>
      <c r="H28" s="521">
        <v>0</v>
      </c>
      <c r="I28" s="521">
        <v>0</v>
      </c>
      <c r="J28" s="521">
        <v>0</v>
      </c>
      <c r="K28" s="521">
        <v>0</v>
      </c>
      <c r="L28" s="521">
        <v>0</v>
      </c>
      <c r="M28" s="521">
        <v>0</v>
      </c>
      <c r="N28" s="521">
        <v>0</v>
      </c>
      <c r="O28" s="521">
        <v>0</v>
      </c>
      <c r="P28" s="521">
        <v>0</v>
      </c>
      <c r="Q28" s="521">
        <v>0</v>
      </c>
      <c r="R28" s="521">
        <v>0</v>
      </c>
      <c r="S28" s="521">
        <v>0</v>
      </c>
      <c r="T28" s="521">
        <v>0</v>
      </c>
      <c r="U28" s="521">
        <v>0</v>
      </c>
      <c r="V28" s="521">
        <v>0</v>
      </c>
      <c r="W28" s="521">
        <v>0</v>
      </c>
      <c r="X28" s="521">
        <v>0</v>
      </c>
      <c r="Y28" s="521">
        <v>0</v>
      </c>
      <c r="Z28" s="521">
        <v>0</v>
      </c>
      <c r="AA28" s="521">
        <v>0</v>
      </c>
      <c r="AB28" s="521">
        <v>0</v>
      </c>
      <c r="AC28" s="521">
        <v>0</v>
      </c>
      <c r="AD28" s="521">
        <v>0</v>
      </c>
      <c r="AE28" s="572">
        <v>81933</v>
      </c>
      <c r="AF28" s="130">
        <v>4907</v>
      </c>
      <c r="AG28" s="572">
        <v>97671</v>
      </c>
      <c r="AH28" s="130">
        <v>12776</v>
      </c>
      <c r="AI28" s="572">
        <v>234485</v>
      </c>
      <c r="AJ28" s="130">
        <v>40165</v>
      </c>
      <c r="AK28" s="273">
        <v>170509</v>
      </c>
      <c r="AL28" s="519">
        <v>49828</v>
      </c>
    </row>
    <row r="29" spans="1:38" ht="27.75" customHeight="1">
      <c r="A29" s="514" t="s">
        <v>226</v>
      </c>
      <c r="B29" s="267" t="s">
        <v>242</v>
      </c>
      <c r="C29" s="248">
        <v>25061</v>
      </c>
      <c r="D29" s="248">
        <v>10024</v>
      </c>
      <c r="E29" s="251">
        <v>25061</v>
      </c>
      <c r="F29" s="251">
        <v>10024</v>
      </c>
      <c r="G29" s="251">
        <v>21745</v>
      </c>
      <c r="H29" s="251">
        <v>8698</v>
      </c>
      <c r="I29" s="251">
        <v>21745</v>
      </c>
      <c r="J29" s="251">
        <v>8698</v>
      </c>
      <c r="K29" s="272">
        <v>21745</v>
      </c>
      <c r="L29" s="272">
        <v>8698</v>
      </c>
      <c r="M29" s="272">
        <v>20544</v>
      </c>
      <c r="N29" s="272">
        <v>8217</v>
      </c>
      <c r="O29" s="272">
        <v>20544</v>
      </c>
      <c r="P29" s="527">
        <v>8218</v>
      </c>
      <c r="Q29" s="272">
        <v>20544</v>
      </c>
      <c r="R29" s="527">
        <v>8217</v>
      </c>
      <c r="S29" s="272">
        <v>17768</v>
      </c>
      <c r="T29" s="272">
        <v>7107</v>
      </c>
      <c r="U29" s="272">
        <v>17768</v>
      </c>
      <c r="V29" s="527">
        <v>7107</v>
      </c>
      <c r="W29" s="272">
        <v>17768</v>
      </c>
      <c r="X29" s="507">
        <v>7107</v>
      </c>
      <c r="Y29" s="272">
        <v>16564</v>
      </c>
      <c r="Z29" s="507">
        <v>6626</v>
      </c>
      <c r="AA29" s="508">
        <v>16564</v>
      </c>
      <c r="AB29" s="509">
        <v>6626</v>
      </c>
      <c r="AC29" s="273">
        <v>16565</v>
      </c>
      <c r="AD29" s="130">
        <v>6626</v>
      </c>
      <c r="AE29" s="273">
        <v>15342</v>
      </c>
      <c r="AF29" s="130">
        <v>6136</v>
      </c>
      <c r="AG29" s="273">
        <v>15342</v>
      </c>
      <c r="AH29" s="130">
        <v>6137</v>
      </c>
      <c r="AI29" s="273">
        <v>15343</v>
      </c>
      <c r="AJ29" s="130">
        <v>6137</v>
      </c>
      <c r="AK29" s="273">
        <v>14042</v>
      </c>
      <c r="AL29" s="519">
        <v>5617</v>
      </c>
    </row>
    <row r="30" spans="1:38" ht="27.75" customHeight="1" hidden="1">
      <c r="A30" s="573" t="s">
        <v>243</v>
      </c>
      <c r="B30" s="511" t="s">
        <v>221</v>
      </c>
      <c r="C30" s="521">
        <v>0</v>
      </c>
      <c r="D30" s="521">
        <v>0</v>
      </c>
      <c r="E30" s="521">
        <v>0</v>
      </c>
      <c r="F30" s="521">
        <v>0</v>
      </c>
      <c r="G30" s="521">
        <v>2038</v>
      </c>
      <c r="H30" s="521">
        <v>1698</v>
      </c>
      <c r="I30" s="521">
        <v>2038</v>
      </c>
      <c r="J30" s="521">
        <v>1698</v>
      </c>
      <c r="K30" s="564">
        <v>2038</v>
      </c>
      <c r="L30" s="564">
        <v>1698</v>
      </c>
      <c r="M30" s="564">
        <v>1950</v>
      </c>
      <c r="N30" s="564">
        <v>1625</v>
      </c>
      <c r="O30" s="564">
        <v>0</v>
      </c>
      <c r="P30" s="566">
        <v>0</v>
      </c>
      <c r="Q30" s="564">
        <v>1950</v>
      </c>
      <c r="R30" s="566">
        <v>1625</v>
      </c>
      <c r="S30" s="564">
        <v>0</v>
      </c>
      <c r="T30" s="564">
        <v>0</v>
      </c>
      <c r="U30" s="564" t="s">
        <v>172</v>
      </c>
      <c r="V30" s="566" t="s">
        <v>172</v>
      </c>
      <c r="W30" s="499" t="s">
        <v>173</v>
      </c>
      <c r="X30" s="500" t="s">
        <v>173</v>
      </c>
      <c r="Y30" s="499" t="s">
        <v>173</v>
      </c>
      <c r="Z30" s="500" t="s">
        <v>173</v>
      </c>
      <c r="AA30" s="501" t="s">
        <v>173</v>
      </c>
      <c r="AB30" s="502" t="s">
        <v>173</v>
      </c>
      <c r="AC30" s="503" t="s">
        <v>173</v>
      </c>
      <c r="AD30" s="425" t="s">
        <v>173</v>
      </c>
      <c r="AE30" s="503" t="s">
        <v>173</v>
      </c>
      <c r="AF30" s="425" t="s">
        <v>173</v>
      </c>
      <c r="AG30" s="503" t="s">
        <v>173</v>
      </c>
      <c r="AH30" s="425" t="s">
        <v>173</v>
      </c>
      <c r="AI30" s="503" t="s">
        <v>173</v>
      </c>
      <c r="AJ30" s="425" t="s">
        <v>173</v>
      </c>
      <c r="AK30" s="503" t="s">
        <v>173</v>
      </c>
      <c r="AL30" s="526" t="s">
        <v>173</v>
      </c>
    </row>
    <row r="31" spans="1:38" ht="27.75" customHeight="1" hidden="1">
      <c r="A31" s="574" t="s">
        <v>244</v>
      </c>
      <c r="B31" s="511" t="s">
        <v>245</v>
      </c>
      <c r="C31" s="251">
        <v>122694</v>
      </c>
      <c r="D31" s="251">
        <v>30674</v>
      </c>
      <c r="E31" s="251">
        <v>122694</v>
      </c>
      <c r="F31" s="251">
        <v>30674</v>
      </c>
      <c r="G31" s="521">
        <v>0</v>
      </c>
      <c r="H31" s="521">
        <v>0</v>
      </c>
      <c r="I31" s="521">
        <v>0</v>
      </c>
      <c r="J31" s="521">
        <v>0</v>
      </c>
      <c r="K31" s="564">
        <v>0</v>
      </c>
      <c r="L31" s="564">
        <v>0</v>
      </c>
      <c r="M31" s="564">
        <v>0</v>
      </c>
      <c r="N31" s="564">
        <v>0</v>
      </c>
      <c r="O31" s="564">
        <v>0</v>
      </c>
      <c r="P31" s="566">
        <v>0</v>
      </c>
      <c r="Q31" s="564">
        <v>0</v>
      </c>
      <c r="R31" s="566">
        <v>0</v>
      </c>
      <c r="S31" s="564">
        <v>0</v>
      </c>
      <c r="T31" s="564">
        <v>0</v>
      </c>
      <c r="U31" s="564" t="s">
        <v>172</v>
      </c>
      <c r="V31" s="566" t="s">
        <v>172</v>
      </c>
      <c r="W31" s="499" t="s">
        <v>173</v>
      </c>
      <c r="X31" s="500" t="s">
        <v>173</v>
      </c>
      <c r="Y31" s="499" t="s">
        <v>173</v>
      </c>
      <c r="Z31" s="500" t="s">
        <v>173</v>
      </c>
      <c r="AA31" s="501" t="s">
        <v>173</v>
      </c>
      <c r="AB31" s="502" t="s">
        <v>173</v>
      </c>
      <c r="AC31" s="503" t="s">
        <v>173</v>
      </c>
      <c r="AD31" s="425" t="s">
        <v>173</v>
      </c>
      <c r="AE31" s="503" t="s">
        <v>173</v>
      </c>
      <c r="AF31" s="425" t="s">
        <v>173</v>
      </c>
      <c r="AG31" s="503" t="s">
        <v>173</v>
      </c>
      <c r="AH31" s="425" t="s">
        <v>173</v>
      </c>
      <c r="AI31" s="503" t="s">
        <v>173</v>
      </c>
      <c r="AJ31" s="425" t="s">
        <v>173</v>
      </c>
      <c r="AK31" s="503" t="s">
        <v>173</v>
      </c>
      <c r="AL31" s="526" t="s">
        <v>173</v>
      </c>
    </row>
    <row r="32" spans="1:38" ht="27.75" customHeight="1" hidden="1">
      <c r="A32" s="573" t="s">
        <v>246</v>
      </c>
      <c r="B32" s="511" t="s">
        <v>247</v>
      </c>
      <c r="C32" s="251">
        <v>861667</v>
      </c>
      <c r="D32" s="251">
        <v>186210</v>
      </c>
      <c r="E32" s="251">
        <v>861667</v>
      </c>
      <c r="F32" s="251">
        <v>186210</v>
      </c>
      <c r="G32" s="565">
        <v>0</v>
      </c>
      <c r="H32" s="565">
        <v>0</v>
      </c>
      <c r="I32" s="565">
        <v>0</v>
      </c>
      <c r="J32" s="565">
        <v>0</v>
      </c>
      <c r="K32" s="522">
        <v>0</v>
      </c>
      <c r="L32" s="522">
        <v>0</v>
      </c>
      <c r="M32" s="522">
        <v>0</v>
      </c>
      <c r="N32" s="522">
        <v>0</v>
      </c>
      <c r="O32" s="522">
        <v>0</v>
      </c>
      <c r="P32" s="523">
        <v>0</v>
      </c>
      <c r="Q32" s="522">
        <v>0</v>
      </c>
      <c r="R32" s="523">
        <v>0</v>
      </c>
      <c r="S32" s="522">
        <v>0</v>
      </c>
      <c r="T32" s="575">
        <v>0</v>
      </c>
      <c r="U32" s="576" t="s">
        <v>172</v>
      </c>
      <c r="V32" s="577" t="s">
        <v>172</v>
      </c>
      <c r="W32" s="499" t="s">
        <v>173</v>
      </c>
      <c r="X32" s="500" t="s">
        <v>173</v>
      </c>
      <c r="Y32" s="499" t="s">
        <v>173</v>
      </c>
      <c r="Z32" s="500" t="s">
        <v>173</v>
      </c>
      <c r="AA32" s="501" t="s">
        <v>173</v>
      </c>
      <c r="AB32" s="502" t="s">
        <v>173</v>
      </c>
      <c r="AC32" s="503" t="s">
        <v>173</v>
      </c>
      <c r="AD32" s="425" t="s">
        <v>173</v>
      </c>
      <c r="AE32" s="503" t="s">
        <v>173</v>
      </c>
      <c r="AF32" s="425" t="s">
        <v>173</v>
      </c>
      <c r="AG32" s="503" t="s">
        <v>173</v>
      </c>
      <c r="AH32" s="425" t="s">
        <v>173</v>
      </c>
      <c r="AI32" s="503" t="s">
        <v>173</v>
      </c>
      <c r="AJ32" s="425" t="s">
        <v>173</v>
      </c>
      <c r="AK32" s="503" t="s">
        <v>173</v>
      </c>
      <c r="AL32" s="526" t="s">
        <v>173</v>
      </c>
    </row>
    <row r="33" spans="1:38" ht="27.75" customHeight="1" hidden="1">
      <c r="A33" s="573" t="s">
        <v>248</v>
      </c>
      <c r="B33" s="511" t="s">
        <v>221</v>
      </c>
      <c r="C33" s="521">
        <v>0</v>
      </c>
      <c r="D33" s="521">
        <v>0</v>
      </c>
      <c r="E33" s="521">
        <v>0</v>
      </c>
      <c r="F33" s="521">
        <v>0</v>
      </c>
      <c r="G33" s="521">
        <v>6815</v>
      </c>
      <c r="H33" s="521">
        <v>4543</v>
      </c>
      <c r="I33" s="521">
        <v>6815</v>
      </c>
      <c r="J33" s="521">
        <v>4543</v>
      </c>
      <c r="K33" s="564">
        <v>6815</v>
      </c>
      <c r="L33" s="564">
        <v>4543</v>
      </c>
      <c r="M33" s="564">
        <v>6527</v>
      </c>
      <c r="N33" s="564">
        <v>4352</v>
      </c>
      <c r="O33" s="564">
        <v>0</v>
      </c>
      <c r="P33" s="566">
        <v>0</v>
      </c>
      <c r="Q33" s="564">
        <v>6527</v>
      </c>
      <c r="R33" s="566">
        <v>4352</v>
      </c>
      <c r="S33" s="564">
        <v>0</v>
      </c>
      <c r="T33" s="564">
        <v>0</v>
      </c>
      <c r="U33" s="564" t="s">
        <v>172</v>
      </c>
      <c r="V33" s="566" t="s">
        <v>172</v>
      </c>
      <c r="W33" s="499" t="s">
        <v>173</v>
      </c>
      <c r="X33" s="500" t="s">
        <v>173</v>
      </c>
      <c r="Y33" s="499" t="s">
        <v>173</v>
      </c>
      <c r="Z33" s="500" t="s">
        <v>173</v>
      </c>
      <c r="AA33" s="501" t="s">
        <v>173</v>
      </c>
      <c r="AB33" s="502" t="s">
        <v>173</v>
      </c>
      <c r="AC33" s="503" t="s">
        <v>173</v>
      </c>
      <c r="AD33" s="425" t="s">
        <v>173</v>
      </c>
      <c r="AE33" s="503" t="s">
        <v>173</v>
      </c>
      <c r="AF33" s="425" t="s">
        <v>173</v>
      </c>
      <c r="AG33" s="503" t="s">
        <v>173</v>
      </c>
      <c r="AH33" s="425" t="s">
        <v>173</v>
      </c>
      <c r="AI33" s="503" t="s">
        <v>173</v>
      </c>
      <c r="AJ33" s="425" t="s">
        <v>173</v>
      </c>
      <c r="AK33" s="503" t="s">
        <v>173</v>
      </c>
      <c r="AL33" s="526" t="s">
        <v>173</v>
      </c>
    </row>
    <row r="34" spans="1:38" ht="27.75" customHeight="1" hidden="1">
      <c r="A34" s="573" t="s">
        <v>249</v>
      </c>
      <c r="B34" s="511" t="s">
        <v>245</v>
      </c>
      <c r="C34" s="521">
        <v>0</v>
      </c>
      <c r="D34" s="521">
        <v>0</v>
      </c>
      <c r="E34" s="521">
        <v>0</v>
      </c>
      <c r="F34" s="521">
        <v>0</v>
      </c>
      <c r="G34" s="521">
        <v>365277</v>
      </c>
      <c r="H34" s="521">
        <v>45660</v>
      </c>
      <c r="I34" s="521">
        <v>365277</v>
      </c>
      <c r="J34" s="521">
        <v>45660</v>
      </c>
      <c r="K34" s="564">
        <v>365277</v>
      </c>
      <c r="L34" s="564">
        <v>45660</v>
      </c>
      <c r="M34" s="564">
        <v>356630</v>
      </c>
      <c r="N34" s="564">
        <v>44579</v>
      </c>
      <c r="O34" s="564">
        <v>356630</v>
      </c>
      <c r="P34" s="566">
        <v>44579</v>
      </c>
      <c r="Q34" s="522">
        <v>0</v>
      </c>
      <c r="R34" s="523">
        <v>0</v>
      </c>
      <c r="S34" s="522">
        <v>0</v>
      </c>
      <c r="T34" s="522">
        <v>0</v>
      </c>
      <c r="U34" s="564" t="s">
        <v>172</v>
      </c>
      <c r="V34" s="566" t="s">
        <v>172</v>
      </c>
      <c r="W34" s="499" t="s">
        <v>173</v>
      </c>
      <c r="X34" s="500" t="s">
        <v>173</v>
      </c>
      <c r="Y34" s="499" t="s">
        <v>173</v>
      </c>
      <c r="Z34" s="500" t="s">
        <v>173</v>
      </c>
      <c r="AA34" s="501" t="s">
        <v>173</v>
      </c>
      <c r="AB34" s="502" t="s">
        <v>173</v>
      </c>
      <c r="AC34" s="503" t="s">
        <v>173</v>
      </c>
      <c r="AD34" s="425" t="s">
        <v>173</v>
      </c>
      <c r="AE34" s="503" t="s">
        <v>173</v>
      </c>
      <c r="AF34" s="425" t="s">
        <v>173</v>
      </c>
      <c r="AG34" s="503" t="s">
        <v>173</v>
      </c>
      <c r="AH34" s="425" t="s">
        <v>173</v>
      </c>
      <c r="AI34" s="503" t="s">
        <v>173</v>
      </c>
      <c r="AJ34" s="425" t="s">
        <v>173</v>
      </c>
      <c r="AK34" s="503" t="s">
        <v>173</v>
      </c>
      <c r="AL34" s="526" t="s">
        <v>173</v>
      </c>
    </row>
    <row r="35" spans="1:38" ht="27.75" customHeight="1" hidden="1">
      <c r="A35" s="573" t="s">
        <v>250</v>
      </c>
      <c r="B35" s="511" t="s">
        <v>251</v>
      </c>
      <c r="C35" s="520">
        <v>0</v>
      </c>
      <c r="D35" s="520">
        <v>0</v>
      </c>
      <c r="E35" s="521">
        <v>0</v>
      </c>
      <c r="F35" s="521">
        <v>0</v>
      </c>
      <c r="G35" s="521">
        <v>0</v>
      </c>
      <c r="H35" s="521">
        <v>0</v>
      </c>
      <c r="I35" s="521">
        <v>4020864</v>
      </c>
      <c r="J35" s="521">
        <v>1889806</v>
      </c>
      <c r="K35" s="564">
        <v>4208563</v>
      </c>
      <c r="L35" s="564">
        <v>1851768</v>
      </c>
      <c r="M35" s="564">
        <v>0</v>
      </c>
      <c r="N35" s="564">
        <v>0</v>
      </c>
      <c r="O35" s="564">
        <v>0</v>
      </c>
      <c r="P35" s="566">
        <v>0</v>
      </c>
      <c r="Q35" s="522">
        <v>0</v>
      </c>
      <c r="R35" s="566">
        <v>0</v>
      </c>
      <c r="S35" s="522">
        <v>0</v>
      </c>
      <c r="T35" s="564">
        <v>0</v>
      </c>
      <c r="U35" s="564" t="s">
        <v>172</v>
      </c>
      <c r="V35" s="566" t="s">
        <v>172</v>
      </c>
      <c r="W35" s="499" t="s">
        <v>173</v>
      </c>
      <c r="X35" s="500" t="s">
        <v>173</v>
      </c>
      <c r="Y35" s="499" t="s">
        <v>173</v>
      </c>
      <c r="Z35" s="500" t="s">
        <v>173</v>
      </c>
      <c r="AA35" s="501" t="s">
        <v>173</v>
      </c>
      <c r="AB35" s="502" t="s">
        <v>173</v>
      </c>
      <c r="AC35" s="503" t="s">
        <v>173</v>
      </c>
      <c r="AD35" s="425" t="s">
        <v>173</v>
      </c>
      <c r="AE35" s="503" t="s">
        <v>173</v>
      </c>
      <c r="AF35" s="425" t="s">
        <v>173</v>
      </c>
      <c r="AG35" s="503" t="s">
        <v>173</v>
      </c>
      <c r="AH35" s="425" t="s">
        <v>173</v>
      </c>
      <c r="AI35" s="503" t="s">
        <v>173</v>
      </c>
      <c r="AJ35" s="425" t="s">
        <v>173</v>
      </c>
      <c r="AK35" s="503" t="s">
        <v>173</v>
      </c>
      <c r="AL35" s="526" t="s">
        <v>173</v>
      </c>
    </row>
    <row r="36" spans="1:38" ht="27.75" customHeight="1" hidden="1">
      <c r="A36" s="573" t="s">
        <v>252</v>
      </c>
      <c r="B36" s="578" t="s">
        <v>253</v>
      </c>
      <c r="C36" s="520">
        <v>0</v>
      </c>
      <c r="D36" s="520">
        <v>0</v>
      </c>
      <c r="E36" s="521">
        <v>0</v>
      </c>
      <c r="F36" s="521">
        <v>0</v>
      </c>
      <c r="G36" s="521">
        <v>0</v>
      </c>
      <c r="H36" s="521">
        <v>0</v>
      </c>
      <c r="I36" s="521">
        <v>773877</v>
      </c>
      <c r="J36" s="521">
        <v>366751</v>
      </c>
      <c r="K36" s="564">
        <v>773877</v>
      </c>
      <c r="L36" s="564">
        <v>351470</v>
      </c>
      <c r="M36" s="564">
        <v>741279</v>
      </c>
      <c r="N36" s="564">
        <v>321938</v>
      </c>
      <c r="O36" s="564">
        <v>741279</v>
      </c>
      <c r="P36" s="566">
        <v>307304</v>
      </c>
      <c r="Q36" s="564">
        <v>0</v>
      </c>
      <c r="R36" s="525">
        <v>0</v>
      </c>
      <c r="S36" s="564">
        <v>0</v>
      </c>
      <c r="T36" s="564">
        <v>0</v>
      </c>
      <c r="U36" s="564" t="s">
        <v>172</v>
      </c>
      <c r="V36" s="566" t="s">
        <v>172</v>
      </c>
      <c r="W36" s="499" t="s">
        <v>173</v>
      </c>
      <c r="X36" s="500" t="s">
        <v>173</v>
      </c>
      <c r="Y36" s="499" t="s">
        <v>173</v>
      </c>
      <c r="Z36" s="500" t="s">
        <v>173</v>
      </c>
      <c r="AA36" s="501" t="s">
        <v>173</v>
      </c>
      <c r="AB36" s="502" t="s">
        <v>173</v>
      </c>
      <c r="AC36" s="503" t="s">
        <v>173</v>
      </c>
      <c r="AD36" s="425" t="s">
        <v>173</v>
      </c>
      <c r="AE36" s="503" t="s">
        <v>173</v>
      </c>
      <c r="AF36" s="425" t="s">
        <v>173</v>
      </c>
      <c r="AG36" s="503" t="s">
        <v>173</v>
      </c>
      <c r="AH36" s="425" t="s">
        <v>173</v>
      </c>
      <c r="AI36" s="503" t="s">
        <v>173</v>
      </c>
      <c r="AJ36" s="425" t="s">
        <v>173</v>
      </c>
      <c r="AK36" s="503" t="s">
        <v>173</v>
      </c>
      <c r="AL36" s="526" t="s">
        <v>173</v>
      </c>
    </row>
    <row r="37" spans="1:38" ht="27.75" customHeight="1">
      <c r="A37" s="908" t="s">
        <v>55</v>
      </c>
      <c r="B37" s="846"/>
      <c r="C37" s="251">
        <f aca="true" t="shared" si="3" ref="C37:AF37">SUM(C22:C36)</f>
        <v>6405879</v>
      </c>
      <c r="D37" s="251">
        <f t="shared" si="3"/>
        <v>2924724</v>
      </c>
      <c r="E37" s="251">
        <f t="shared" si="3"/>
        <v>6445036</v>
      </c>
      <c r="F37" s="251">
        <f t="shared" si="3"/>
        <v>2938833</v>
      </c>
      <c r="G37" s="251">
        <f t="shared" si="3"/>
        <v>5429219</v>
      </c>
      <c r="H37" s="251">
        <f t="shared" si="3"/>
        <v>2571953</v>
      </c>
      <c r="I37" s="251">
        <f t="shared" si="3"/>
        <v>5430464</v>
      </c>
      <c r="J37" s="251">
        <f t="shared" si="3"/>
        <v>2435680</v>
      </c>
      <c r="K37" s="251">
        <f t="shared" si="3"/>
        <v>7017569</v>
      </c>
      <c r="L37" s="251">
        <f t="shared" si="3"/>
        <v>3082064</v>
      </c>
      <c r="M37" s="272">
        <f>SUM(M22:M36)</f>
        <v>6839143</v>
      </c>
      <c r="N37" s="272">
        <f>SUM(N22:N36)</f>
        <v>2823340</v>
      </c>
      <c r="O37" s="272">
        <f>SUM(O22:O36)</f>
        <v>6821145</v>
      </c>
      <c r="P37" s="527">
        <f>SUM(P22:P36)</f>
        <v>2798922</v>
      </c>
      <c r="Q37" s="272">
        <f t="shared" si="3"/>
        <v>6417080</v>
      </c>
      <c r="R37" s="527">
        <f t="shared" si="3"/>
        <v>2727185</v>
      </c>
      <c r="S37" s="272">
        <f t="shared" si="3"/>
        <v>5837466</v>
      </c>
      <c r="T37" s="527">
        <f t="shared" si="3"/>
        <v>2481782</v>
      </c>
      <c r="U37" s="272">
        <f t="shared" si="3"/>
        <v>5904327</v>
      </c>
      <c r="V37" s="527">
        <f t="shared" si="3"/>
        <v>2382070</v>
      </c>
      <c r="W37" s="272">
        <f t="shared" si="3"/>
        <v>6209072</v>
      </c>
      <c r="X37" s="272">
        <f t="shared" si="3"/>
        <v>2504181</v>
      </c>
      <c r="Y37" s="272">
        <f t="shared" si="3"/>
        <v>6141909</v>
      </c>
      <c r="Z37" s="507">
        <f t="shared" si="3"/>
        <v>2478641</v>
      </c>
      <c r="AA37" s="508">
        <f t="shared" si="3"/>
        <v>6243963</v>
      </c>
      <c r="AB37" s="509">
        <f t="shared" si="3"/>
        <v>2194613</v>
      </c>
      <c r="AC37" s="273">
        <f t="shared" si="3"/>
        <v>6586935</v>
      </c>
      <c r="AD37" s="130">
        <f t="shared" si="3"/>
        <v>2285998</v>
      </c>
      <c r="AE37" s="273">
        <f t="shared" si="3"/>
        <v>6569353</v>
      </c>
      <c r="AF37" s="130">
        <f t="shared" si="3"/>
        <v>2211021</v>
      </c>
      <c r="AG37" s="273">
        <f aca="true" t="shared" si="4" ref="AG37:AL37">SUM(AG22:AG36)</f>
        <v>6624033</v>
      </c>
      <c r="AH37" s="130">
        <f t="shared" si="4"/>
        <v>2220907</v>
      </c>
      <c r="AI37" s="273">
        <f t="shared" si="4"/>
        <v>5943514</v>
      </c>
      <c r="AJ37" s="130">
        <f>SUM(AJ22:AJ36)</f>
        <v>2249676</v>
      </c>
      <c r="AK37" s="273">
        <f t="shared" si="4"/>
        <v>5800576</v>
      </c>
      <c r="AL37" s="528">
        <f t="shared" si="4"/>
        <v>2239241</v>
      </c>
    </row>
    <row r="38" spans="1:38" ht="27.75" customHeight="1" thickBot="1">
      <c r="A38" s="909" t="s">
        <v>66</v>
      </c>
      <c r="B38" s="861"/>
      <c r="C38" s="529">
        <v>100</v>
      </c>
      <c r="D38" s="529">
        <v>100</v>
      </c>
      <c r="E38" s="530">
        <f aca="true" t="shared" si="5" ref="E38:AL38">ROUND((E37/C37)*100,1)</f>
        <v>100.6</v>
      </c>
      <c r="F38" s="530">
        <f t="shared" si="5"/>
        <v>100.5</v>
      </c>
      <c r="G38" s="530">
        <f t="shared" si="5"/>
        <v>84.2</v>
      </c>
      <c r="H38" s="530">
        <f t="shared" si="5"/>
        <v>87.5</v>
      </c>
      <c r="I38" s="531">
        <f t="shared" si="5"/>
        <v>100</v>
      </c>
      <c r="J38" s="531">
        <f t="shared" si="5"/>
        <v>94.7</v>
      </c>
      <c r="K38" s="530">
        <f t="shared" si="5"/>
        <v>129.2</v>
      </c>
      <c r="L38" s="530">
        <f t="shared" si="5"/>
        <v>126.5</v>
      </c>
      <c r="M38" s="280">
        <f t="shared" si="5"/>
        <v>97.5</v>
      </c>
      <c r="N38" s="280">
        <f t="shared" si="5"/>
        <v>91.6</v>
      </c>
      <c r="O38" s="280">
        <f t="shared" si="5"/>
        <v>99.7</v>
      </c>
      <c r="P38" s="532">
        <f t="shared" si="5"/>
        <v>99.1</v>
      </c>
      <c r="Q38" s="280">
        <f t="shared" si="5"/>
        <v>94.1</v>
      </c>
      <c r="R38" s="532">
        <f t="shared" si="5"/>
        <v>97.4</v>
      </c>
      <c r="S38" s="280">
        <f t="shared" si="5"/>
        <v>91</v>
      </c>
      <c r="T38" s="532">
        <f t="shared" si="5"/>
        <v>91</v>
      </c>
      <c r="U38" s="280">
        <f t="shared" si="5"/>
        <v>101.1</v>
      </c>
      <c r="V38" s="532">
        <f t="shared" si="5"/>
        <v>96</v>
      </c>
      <c r="W38" s="533">
        <f t="shared" si="5"/>
        <v>105.2</v>
      </c>
      <c r="X38" s="533">
        <f t="shared" si="5"/>
        <v>105.1</v>
      </c>
      <c r="Y38" s="535">
        <f t="shared" si="5"/>
        <v>98.9</v>
      </c>
      <c r="Z38" s="536">
        <f t="shared" si="5"/>
        <v>99</v>
      </c>
      <c r="AA38" s="537">
        <f t="shared" si="5"/>
        <v>101.7</v>
      </c>
      <c r="AB38" s="538">
        <f t="shared" si="5"/>
        <v>88.5</v>
      </c>
      <c r="AC38" s="539">
        <f t="shared" si="5"/>
        <v>105.5</v>
      </c>
      <c r="AD38" s="139">
        <f t="shared" si="5"/>
        <v>104.2</v>
      </c>
      <c r="AE38" s="539">
        <f t="shared" si="5"/>
        <v>99.7</v>
      </c>
      <c r="AF38" s="139">
        <f t="shared" si="5"/>
        <v>96.7</v>
      </c>
      <c r="AG38" s="539">
        <f t="shared" si="5"/>
        <v>100.8</v>
      </c>
      <c r="AH38" s="139">
        <f t="shared" si="5"/>
        <v>100.4</v>
      </c>
      <c r="AI38" s="539">
        <f t="shared" si="5"/>
        <v>89.7</v>
      </c>
      <c r="AJ38" s="139">
        <f t="shared" si="5"/>
        <v>101.3</v>
      </c>
      <c r="AK38" s="539">
        <f t="shared" si="5"/>
        <v>97.6</v>
      </c>
      <c r="AL38" s="540">
        <f t="shared" si="5"/>
        <v>99.5</v>
      </c>
    </row>
    <row r="39" spans="1:37" ht="21" customHeight="1">
      <c r="A39" s="472" t="s">
        <v>254</v>
      </c>
      <c r="M39" s="547"/>
      <c r="N39" s="547"/>
      <c r="O39" s="547"/>
      <c r="P39" s="547"/>
      <c r="Q39" s="547"/>
      <c r="R39" s="547"/>
      <c r="S39" s="547"/>
      <c r="T39" s="547"/>
      <c r="U39" s="547"/>
      <c r="V39" s="547"/>
      <c r="W39" s="547"/>
      <c r="X39" s="547"/>
      <c r="Y39" s="547"/>
      <c r="AA39" s="547"/>
      <c r="AC39" s="547"/>
      <c r="AE39" s="547"/>
      <c r="AG39" s="547"/>
      <c r="AI39" s="547"/>
      <c r="AK39" s="547"/>
    </row>
    <row r="40" spans="13:37" ht="21" customHeight="1">
      <c r="M40" s="547"/>
      <c r="N40" s="547"/>
      <c r="O40" s="547"/>
      <c r="P40" s="547"/>
      <c r="Q40" s="547"/>
      <c r="R40" s="547"/>
      <c r="S40" s="547"/>
      <c r="T40" s="547"/>
      <c r="U40" s="547"/>
      <c r="V40" s="547"/>
      <c r="W40" s="547"/>
      <c r="X40" s="547"/>
      <c r="Y40" s="547"/>
      <c r="AA40" s="547"/>
      <c r="AC40" s="547"/>
      <c r="AE40" s="547"/>
      <c r="AG40" s="547"/>
      <c r="AI40" s="547"/>
      <c r="AK40" s="547"/>
    </row>
    <row r="41" spans="13:37" ht="21" customHeight="1">
      <c r="M41" s="547"/>
      <c r="N41" s="547"/>
      <c r="O41" s="547"/>
      <c r="P41" s="547"/>
      <c r="Q41" s="547"/>
      <c r="R41" s="547"/>
      <c r="S41" s="547"/>
      <c r="T41" s="547"/>
      <c r="U41" s="547"/>
      <c r="V41" s="547"/>
      <c r="W41" s="547"/>
      <c r="X41" s="547"/>
      <c r="Y41" s="547"/>
      <c r="AA41" s="547"/>
      <c r="AC41" s="547"/>
      <c r="AE41" s="547"/>
      <c r="AG41" s="547"/>
      <c r="AI41" s="547"/>
      <c r="AK41" s="547"/>
    </row>
    <row r="42" spans="13:37" ht="21" customHeight="1">
      <c r="M42" s="547"/>
      <c r="N42" s="547"/>
      <c r="O42" s="547"/>
      <c r="P42" s="547"/>
      <c r="Q42" s="547"/>
      <c r="R42" s="547"/>
      <c r="S42" s="547"/>
      <c r="T42" s="547"/>
      <c r="U42" s="547"/>
      <c r="V42" s="547"/>
      <c r="W42" s="547"/>
      <c r="X42" s="547"/>
      <c r="Y42" s="547"/>
      <c r="AA42" s="547"/>
      <c r="AC42" s="547"/>
      <c r="AE42" s="547"/>
      <c r="AG42" s="547"/>
      <c r="AI42" s="547"/>
      <c r="AK42" s="547"/>
    </row>
    <row r="43" spans="13:37" ht="21" customHeight="1">
      <c r="M43" s="547"/>
      <c r="N43" s="547"/>
      <c r="O43" s="547"/>
      <c r="P43" s="547"/>
      <c r="Q43" s="547"/>
      <c r="R43" s="547"/>
      <c r="S43" s="547"/>
      <c r="T43" s="547"/>
      <c r="U43" s="547"/>
      <c r="V43" s="547"/>
      <c r="W43" s="547"/>
      <c r="X43" s="547"/>
      <c r="Y43" s="547"/>
      <c r="AA43" s="547"/>
      <c r="AC43" s="547"/>
      <c r="AE43" s="547"/>
      <c r="AG43" s="547"/>
      <c r="AI43" s="547"/>
      <c r="AK43" s="547"/>
    </row>
    <row r="44" spans="13:37" ht="21" customHeight="1">
      <c r="M44" s="547"/>
      <c r="N44" s="547"/>
      <c r="O44" s="547"/>
      <c r="P44" s="547"/>
      <c r="Q44" s="547"/>
      <c r="R44" s="547"/>
      <c r="S44" s="547"/>
      <c r="T44" s="547"/>
      <c r="U44" s="547"/>
      <c r="V44" s="547"/>
      <c r="W44" s="547"/>
      <c r="X44" s="547"/>
      <c r="Y44" s="547"/>
      <c r="AA44" s="547"/>
      <c r="AC44" s="547"/>
      <c r="AE44" s="547"/>
      <c r="AG44" s="547"/>
      <c r="AI44" s="547"/>
      <c r="AK44" s="547"/>
    </row>
    <row r="45" spans="13:37" ht="21" customHeight="1">
      <c r="M45" s="547"/>
      <c r="N45" s="547"/>
      <c r="O45" s="547"/>
      <c r="P45" s="547"/>
      <c r="Q45" s="547"/>
      <c r="R45" s="547"/>
      <c r="S45" s="547"/>
      <c r="T45" s="547"/>
      <c r="U45" s="547"/>
      <c r="V45" s="547"/>
      <c r="W45" s="547"/>
      <c r="X45" s="547"/>
      <c r="Y45" s="547"/>
      <c r="AA45" s="547"/>
      <c r="AC45" s="547"/>
      <c r="AE45" s="547"/>
      <c r="AG45" s="547"/>
      <c r="AI45" s="547"/>
      <c r="AK45" s="547"/>
    </row>
    <row r="46" spans="13:37" ht="21" customHeight="1">
      <c r="M46" s="547"/>
      <c r="N46" s="547"/>
      <c r="O46" s="547"/>
      <c r="P46" s="547"/>
      <c r="Q46" s="547"/>
      <c r="R46" s="547"/>
      <c r="S46" s="547"/>
      <c r="T46" s="547"/>
      <c r="U46" s="547"/>
      <c r="V46" s="547"/>
      <c r="W46" s="547"/>
      <c r="X46" s="547"/>
      <c r="Y46" s="547"/>
      <c r="AA46" s="547"/>
      <c r="AC46" s="547"/>
      <c r="AE46" s="547"/>
      <c r="AG46" s="547"/>
      <c r="AI46" s="547"/>
      <c r="AK46" s="547"/>
    </row>
    <row r="47" spans="13:37" ht="21" customHeight="1">
      <c r="M47" s="547"/>
      <c r="N47" s="547"/>
      <c r="O47" s="547"/>
      <c r="P47" s="547"/>
      <c r="Q47" s="547"/>
      <c r="R47" s="547"/>
      <c r="S47" s="547"/>
      <c r="T47" s="547"/>
      <c r="U47" s="547"/>
      <c r="V47" s="547"/>
      <c r="W47" s="547"/>
      <c r="X47" s="547"/>
      <c r="Y47" s="547"/>
      <c r="AA47" s="547"/>
      <c r="AC47" s="547"/>
      <c r="AE47" s="547"/>
      <c r="AG47" s="547"/>
      <c r="AI47" s="547"/>
      <c r="AK47" s="547"/>
    </row>
    <row r="48" spans="13:37" ht="21" customHeight="1">
      <c r="M48" s="547"/>
      <c r="N48" s="547"/>
      <c r="O48" s="547"/>
      <c r="P48" s="547"/>
      <c r="Q48" s="547"/>
      <c r="R48" s="547"/>
      <c r="S48" s="547"/>
      <c r="T48" s="547"/>
      <c r="U48" s="547"/>
      <c r="V48" s="547"/>
      <c r="W48" s="547"/>
      <c r="X48" s="547"/>
      <c r="Y48" s="547"/>
      <c r="AA48" s="547"/>
      <c r="AC48" s="547"/>
      <c r="AE48" s="547"/>
      <c r="AG48" s="547"/>
      <c r="AI48" s="547"/>
      <c r="AK48" s="547"/>
    </row>
    <row r="49" spans="13:37" ht="21" customHeight="1">
      <c r="M49" s="547"/>
      <c r="N49" s="547"/>
      <c r="O49" s="547"/>
      <c r="P49" s="547"/>
      <c r="Q49" s="547"/>
      <c r="R49" s="547"/>
      <c r="S49" s="547"/>
      <c r="T49" s="547"/>
      <c r="U49" s="547"/>
      <c r="V49" s="547"/>
      <c r="W49" s="547"/>
      <c r="X49" s="547"/>
      <c r="Y49" s="547"/>
      <c r="AA49" s="547"/>
      <c r="AC49" s="547"/>
      <c r="AE49" s="547"/>
      <c r="AG49" s="547"/>
      <c r="AI49" s="547"/>
      <c r="AK49" s="547"/>
    </row>
    <row r="50" spans="13:37" ht="21" customHeight="1">
      <c r="M50" s="547"/>
      <c r="N50" s="547"/>
      <c r="O50" s="547"/>
      <c r="P50" s="547"/>
      <c r="Q50" s="547"/>
      <c r="R50" s="547"/>
      <c r="S50" s="547"/>
      <c r="T50" s="547"/>
      <c r="U50" s="547"/>
      <c r="V50" s="547"/>
      <c r="W50" s="547"/>
      <c r="X50" s="547"/>
      <c r="Y50" s="547"/>
      <c r="AA50" s="547"/>
      <c r="AC50" s="547"/>
      <c r="AE50" s="547"/>
      <c r="AG50" s="547"/>
      <c r="AI50" s="547"/>
      <c r="AK50" s="547"/>
    </row>
    <row r="51" spans="13:37" ht="21" customHeight="1">
      <c r="M51" s="547"/>
      <c r="N51" s="547"/>
      <c r="O51" s="547"/>
      <c r="P51" s="547"/>
      <c r="Q51" s="547"/>
      <c r="R51" s="547"/>
      <c r="S51" s="547"/>
      <c r="T51" s="547"/>
      <c r="U51" s="547"/>
      <c r="V51" s="547"/>
      <c r="W51" s="547"/>
      <c r="X51" s="547"/>
      <c r="Y51" s="547"/>
      <c r="AA51" s="547"/>
      <c r="AC51" s="547"/>
      <c r="AE51" s="547"/>
      <c r="AG51" s="547"/>
      <c r="AI51" s="547"/>
      <c r="AK51" s="547"/>
    </row>
    <row r="52" spans="13:37" ht="21" customHeight="1">
      <c r="M52" s="547"/>
      <c r="N52" s="547"/>
      <c r="O52" s="547"/>
      <c r="P52" s="547"/>
      <c r="Q52" s="547"/>
      <c r="R52" s="547"/>
      <c r="S52" s="547"/>
      <c r="T52" s="547"/>
      <c r="U52" s="547"/>
      <c r="V52" s="547"/>
      <c r="W52" s="547"/>
      <c r="X52" s="547"/>
      <c r="Y52" s="547"/>
      <c r="AA52" s="547"/>
      <c r="AC52" s="547"/>
      <c r="AE52" s="547"/>
      <c r="AG52" s="547"/>
      <c r="AI52" s="547"/>
      <c r="AK52" s="547"/>
    </row>
    <row r="53" spans="13:37" ht="21" customHeight="1">
      <c r="M53" s="547"/>
      <c r="N53" s="547"/>
      <c r="O53" s="547"/>
      <c r="P53" s="547"/>
      <c r="Q53" s="547"/>
      <c r="R53" s="547"/>
      <c r="S53" s="547"/>
      <c r="T53" s="547"/>
      <c r="U53" s="547"/>
      <c r="V53" s="547"/>
      <c r="W53" s="547"/>
      <c r="X53" s="547"/>
      <c r="Y53" s="547"/>
      <c r="AA53" s="547"/>
      <c r="AC53" s="547"/>
      <c r="AE53" s="547"/>
      <c r="AG53" s="547"/>
      <c r="AI53" s="547"/>
      <c r="AK53" s="547"/>
    </row>
    <row r="54" spans="13:37" ht="21" customHeight="1">
      <c r="M54" s="547"/>
      <c r="N54" s="547"/>
      <c r="O54" s="547"/>
      <c r="P54" s="547"/>
      <c r="Q54" s="547"/>
      <c r="R54" s="547"/>
      <c r="S54" s="547"/>
      <c r="T54" s="547"/>
      <c r="U54" s="547"/>
      <c r="V54" s="547"/>
      <c r="W54" s="547"/>
      <c r="X54" s="547"/>
      <c r="Y54" s="547"/>
      <c r="AA54" s="547"/>
      <c r="AC54" s="547"/>
      <c r="AE54" s="547"/>
      <c r="AG54" s="547"/>
      <c r="AI54" s="547"/>
      <c r="AK54" s="547"/>
    </row>
    <row r="55" spans="13:37" ht="21" customHeight="1">
      <c r="M55" s="547"/>
      <c r="N55" s="547"/>
      <c r="O55" s="547"/>
      <c r="P55" s="547"/>
      <c r="Q55" s="547"/>
      <c r="R55" s="547"/>
      <c r="S55" s="547"/>
      <c r="T55" s="547"/>
      <c r="U55" s="547"/>
      <c r="V55" s="547"/>
      <c r="W55" s="547"/>
      <c r="X55" s="547"/>
      <c r="Y55" s="547"/>
      <c r="AA55" s="547"/>
      <c r="AC55" s="547"/>
      <c r="AE55" s="547"/>
      <c r="AG55" s="547"/>
      <c r="AI55" s="547"/>
      <c r="AK55" s="547"/>
    </row>
    <row r="56" spans="13:37" ht="21" customHeight="1">
      <c r="M56" s="547"/>
      <c r="N56" s="547"/>
      <c r="O56" s="547"/>
      <c r="P56" s="547"/>
      <c r="Q56" s="547"/>
      <c r="R56" s="547"/>
      <c r="S56" s="547"/>
      <c r="T56" s="547"/>
      <c r="U56" s="547"/>
      <c r="V56" s="547"/>
      <c r="W56" s="547"/>
      <c r="X56" s="547"/>
      <c r="Y56" s="547"/>
      <c r="AA56" s="547"/>
      <c r="AC56" s="547"/>
      <c r="AE56" s="547"/>
      <c r="AG56" s="547"/>
      <c r="AI56" s="547"/>
      <c r="AK56" s="547"/>
    </row>
    <row r="57" spans="13:37" ht="21" customHeight="1">
      <c r="M57" s="547"/>
      <c r="N57" s="547"/>
      <c r="O57" s="547"/>
      <c r="P57" s="547"/>
      <c r="Q57" s="547"/>
      <c r="R57" s="547"/>
      <c r="S57" s="547"/>
      <c r="T57" s="547"/>
      <c r="U57" s="547"/>
      <c r="V57" s="547"/>
      <c r="W57" s="547"/>
      <c r="X57" s="547"/>
      <c r="Y57" s="547"/>
      <c r="AA57" s="547"/>
      <c r="AC57" s="547"/>
      <c r="AE57" s="547"/>
      <c r="AG57" s="547"/>
      <c r="AI57" s="547"/>
      <c r="AK57" s="547"/>
    </row>
    <row r="58" spans="13:37" ht="21" customHeight="1">
      <c r="M58" s="547"/>
      <c r="N58" s="547"/>
      <c r="O58" s="547"/>
      <c r="P58" s="547"/>
      <c r="Q58" s="547"/>
      <c r="R58" s="547"/>
      <c r="S58" s="547"/>
      <c r="T58" s="547"/>
      <c r="U58" s="547"/>
      <c r="V58" s="547"/>
      <c r="W58" s="547"/>
      <c r="X58" s="547"/>
      <c r="Y58" s="547"/>
      <c r="AA58" s="547"/>
      <c r="AC58" s="547"/>
      <c r="AE58" s="547"/>
      <c r="AG58" s="547"/>
      <c r="AI58" s="547"/>
      <c r="AK58" s="547"/>
    </row>
    <row r="59" spans="13:37" ht="21" customHeight="1">
      <c r="M59" s="547"/>
      <c r="N59" s="547"/>
      <c r="O59" s="547"/>
      <c r="P59" s="547"/>
      <c r="Q59" s="547"/>
      <c r="R59" s="547"/>
      <c r="S59" s="547"/>
      <c r="T59" s="547"/>
      <c r="U59" s="547"/>
      <c r="V59" s="547"/>
      <c r="W59" s="547"/>
      <c r="X59" s="547"/>
      <c r="Y59" s="547"/>
      <c r="AA59" s="547"/>
      <c r="AC59" s="547"/>
      <c r="AE59" s="547"/>
      <c r="AG59" s="547"/>
      <c r="AI59" s="547"/>
      <c r="AK59" s="547"/>
    </row>
    <row r="60" spans="13:37" ht="21" customHeight="1">
      <c r="M60" s="547"/>
      <c r="N60" s="547"/>
      <c r="O60" s="547"/>
      <c r="P60" s="547"/>
      <c r="Q60" s="547"/>
      <c r="R60" s="547"/>
      <c r="S60" s="547"/>
      <c r="T60" s="547"/>
      <c r="U60" s="547"/>
      <c r="V60" s="547"/>
      <c r="W60" s="547"/>
      <c r="X60" s="547"/>
      <c r="Y60" s="547"/>
      <c r="AA60" s="547"/>
      <c r="AC60" s="547"/>
      <c r="AE60" s="547"/>
      <c r="AG60" s="547"/>
      <c r="AI60" s="547"/>
      <c r="AK60" s="547"/>
    </row>
    <row r="61" spans="13:37" ht="21" customHeight="1">
      <c r="M61" s="547"/>
      <c r="N61" s="547"/>
      <c r="O61" s="547"/>
      <c r="P61" s="547"/>
      <c r="Q61" s="547"/>
      <c r="R61" s="547"/>
      <c r="S61" s="547"/>
      <c r="T61" s="547"/>
      <c r="U61" s="547"/>
      <c r="V61" s="547"/>
      <c r="W61" s="547"/>
      <c r="X61" s="547"/>
      <c r="Y61" s="547"/>
      <c r="AA61" s="547"/>
      <c r="AC61" s="547"/>
      <c r="AE61" s="547"/>
      <c r="AG61" s="547"/>
      <c r="AI61" s="547"/>
      <c r="AK61" s="547"/>
    </row>
    <row r="62" spans="13:37" ht="21" customHeight="1">
      <c r="M62" s="547"/>
      <c r="N62" s="547"/>
      <c r="O62" s="547"/>
      <c r="P62" s="547"/>
      <c r="Q62" s="547"/>
      <c r="R62" s="547"/>
      <c r="S62" s="547"/>
      <c r="T62" s="547"/>
      <c r="U62" s="547"/>
      <c r="V62" s="547"/>
      <c r="W62" s="547"/>
      <c r="X62" s="547"/>
      <c r="Y62" s="547"/>
      <c r="AA62" s="547"/>
      <c r="AC62" s="547"/>
      <c r="AE62" s="547"/>
      <c r="AG62" s="547"/>
      <c r="AI62" s="547"/>
      <c r="AK62" s="547"/>
    </row>
    <row r="63" spans="13:37" ht="21" customHeight="1">
      <c r="M63" s="547"/>
      <c r="N63" s="547"/>
      <c r="O63" s="547"/>
      <c r="P63" s="547"/>
      <c r="Q63" s="547"/>
      <c r="R63" s="547"/>
      <c r="S63" s="547"/>
      <c r="T63" s="547"/>
      <c r="U63" s="547"/>
      <c r="V63" s="547"/>
      <c r="W63" s="547"/>
      <c r="X63" s="547"/>
      <c r="Y63" s="547"/>
      <c r="AA63" s="547"/>
      <c r="AC63" s="547"/>
      <c r="AE63" s="547"/>
      <c r="AG63" s="547"/>
      <c r="AI63" s="547"/>
      <c r="AK63" s="547"/>
    </row>
    <row r="64" spans="13:37" ht="21" customHeight="1">
      <c r="M64" s="547"/>
      <c r="N64" s="547"/>
      <c r="O64" s="547"/>
      <c r="P64" s="547"/>
      <c r="Q64" s="547"/>
      <c r="R64" s="547"/>
      <c r="S64" s="547"/>
      <c r="T64" s="547"/>
      <c r="U64" s="547"/>
      <c r="V64" s="547"/>
      <c r="W64" s="547"/>
      <c r="X64" s="547"/>
      <c r="Y64" s="547"/>
      <c r="AA64" s="547"/>
      <c r="AC64" s="547"/>
      <c r="AE64" s="547"/>
      <c r="AG64" s="547"/>
      <c r="AI64" s="547"/>
      <c r="AK64" s="547"/>
    </row>
    <row r="65" spans="13:37" ht="21" customHeight="1"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AA65" s="547"/>
      <c r="AC65" s="547"/>
      <c r="AE65" s="547"/>
      <c r="AG65" s="547"/>
      <c r="AI65" s="547"/>
      <c r="AK65" s="547"/>
    </row>
    <row r="66" spans="13:37" ht="21" customHeight="1"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AA66" s="547"/>
      <c r="AC66" s="547"/>
      <c r="AE66" s="547"/>
      <c r="AG66" s="547"/>
      <c r="AI66" s="547"/>
      <c r="AK66" s="547"/>
    </row>
    <row r="67" spans="13:37" ht="21" customHeight="1"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AA67" s="547"/>
      <c r="AC67" s="547"/>
      <c r="AE67" s="547"/>
      <c r="AG67" s="547"/>
      <c r="AI67" s="547"/>
      <c r="AK67" s="547"/>
    </row>
    <row r="68" spans="13:37" ht="21" customHeight="1"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AA68" s="547"/>
      <c r="AC68" s="547"/>
      <c r="AE68" s="547"/>
      <c r="AG68" s="547"/>
      <c r="AI68" s="547"/>
      <c r="AK68" s="547"/>
    </row>
    <row r="69" spans="13:37" ht="21" customHeight="1"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AA69" s="547"/>
      <c r="AC69" s="547"/>
      <c r="AE69" s="547"/>
      <c r="AG69" s="547"/>
      <c r="AI69" s="547"/>
      <c r="AK69" s="547"/>
    </row>
    <row r="70" spans="13:37" ht="21" customHeight="1"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AA70" s="547"/>
      <c r="AC70" s="547"/>
      <c r="AE70" s="547"/>
      <c r="AG70" s="547"/>
      <c r="AI70" s="547"/>
      <c r="AK70" s="547"/>
    </row>
    <row r="71" spans="13:37" ht="21" customHeight="1"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AA71" s="547"/>
      <c r="AC71" s="547"/>
      <c r="AE71" s="547"/>
      <c r="AG71" s="547"/>
      <c r="AI71" s="547"/>
      <c r="AK71" s="547"/>
    </row>
    <row r="72" spans="13:37" ht="21" customHeight="1"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AA72" s="547"/>
      <c r="AC72" s="547"/>
      <c r="AE72" s="547"/>
      <c r="AG72" s="547"/>
      <c r="AI72" s="547"/>
      <c r="AK72" s="547"/>
    </row>
    <row r="73" spans="13:37" ht="21" customHeight="1"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AA73" s="547"/>
      <c r="AC73" s="547"/>
      <c r="AE73" s="547"/>
      <c r="AG73" s="547"/>
      <c r="AI73" s="547"/>
      <c r="AK73" s="547"/>
    </row>
    <row r="74" spans="13:37" ht="21" customHeight="1"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AA74" s="547"/>
      <c r="AC74" s="547"/>
      <c r="AE74" s="547"/>
      <c r="AG74" s="547"/>
      <c r="AI74" s="547"/>
      <c r="AK74" s="547"/>
    </row>
    <row r="75" spans="13:37" ht="21" customHeight="1"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AA75" s="547"/>
      <c r="AC75" s="547"/>
      <c r="AE75" s="547"/>
      <c r="AG75" s="547"/>
      <c r="AI75" s="547"/>
      <c r="AK75" s="547"/>
    </row>
    <row r="76" spans="13:37" ht="21" customHeight="1">
      <c r="M76" s="547"/>
      <c r="N76" s="547"/>
      <c r="O76" s="547"/>
      <c r="P76" s="547"/>
      <c r="Q76" s="547"/>
      <c r="R76" s="547"/>
      <c r="S76" s="547"/>
      <c r="T76" s="547"/>
      <c r="U76" s="547"/>
      <c r="V76" s="547"/>
      <c r="W76" s="547"/>
      <c r="X76" s="547"/>
      <c r="Y76" s="547"/>
      <c r="AA76" s="547"/>
      <c r="AC76" s="547"/>
      <c r="AE76" s="547"/>
      <c r="AG76" s="547"/>
      <c r="AI76" s="547"/>
      <c r="AK76" s="547"/>
    </row>
    <row r="77" spans="13:37" ht="21" customHeight="1">
      <c r="M77" s="547"/>
      <c r="N77" s="547"/>
      <c r="O77" s="547"/>
      <c r="P77" s="547"/>
      <c r="Q77" s="547"/>
      <c r="R77" s="547"/>
      <c r="S77" s="547"/>
      <c r="T77" s="547"/>
      <c r="U77" s="547"/>
      <c r="V77" s="547"/>
      <c r="W77" s="547"/>
      <c r="X77" s="547"/>
      <c r="Y77" s="547"/>
      <c r="AA77" s="547"/>
      <c r="AC77" s="547"/>
      <c r="AE77" s="547"/>
      <c r="AG77" s="547"/>
      <c r="AI77" s="547"/>
      <c r="AK77" s="547"/>
    </row>
    <row r="78" spans="13:37" ht="21" customHeight="1">
      <c r="M78" s="547"/>
      <c r="N78" s="547"/>
      <c r="O78" s="547"/>
      <c r="P78" s="547"/>
      <c r="Q78" s="547"/>
      <c r="R78" s="547"/>
      <c r="S78" s="547"/>
      <c r="T78" s="547"/>
      <c r="U78" s="547"/>
      <c r="V78" s="547"/>
      <c r="W78" s="547"/>
      <c r="X78" s="547"/>
      <c r="Y78" s="547"/>
      <c r="AA78" s="547"/>
      <c r="AC78" s="547"/>
      <c r="AE78" s="547"/>
      <c r="AG78" s="547"/>
      <c r="AI78" s="547"/>
      <c r="AK78" s="547"/>
    </row>
    <row r="79" spans="13:37" ht="21" customHeight="1">
      <c r="M79" s="547"/>
      <c r="N79" s="547"/>
      <c r="O79" s="547"/>
      <c r="P79" s="547"/>
      <c r="Q79" s="547"/>
      <c r="R79" s="547"/>
      <c r="S79" s="547"/>
      <c r="T79" s="547"/>
      <c r="U79" s="547"/>
      <c r="V79" s="547"/>
      <c r="W79" s="547"/>
      <c r="X79" s="547"/>
      <c r="Y79" s="547"/>
      <c r="AA79" s="547"/>
      <c r="AC79" s="547"/>
      <c r="AE79" s="547"/>
      <c r="AG79" s="547"/>
      <c r="AI79" s="547"/>
      <c r="AK79" s="547"/>
    </row>
    <row r="80" spans="13:37" ht="21" customHeight="1">
      <c r="M80" s="547"/>
      <c r="N80" s="547"/>
      <c r="O80" s="547"/>
      <c r="P80" s="547"/>
      <c r="Q80" s="547"/>
      <c r="R80" s="547"/>
      <c r="S80" s="547"/>
      <c r="T80" s="547"/>
      <c r="U80" s="547"/>
      <c r="V80" s="547"/>
      <c r="W80" s="547"/>
      <c r="X80" s="547"/>
      <c r="Y80" s="547"/>
      <c r="AA80" s="547"/>
      <c r="AC80" s="547"/>
      <c r="AE80" s="547"/>
      <c r="AG80" s="547"/>
      <c r="AI80" s="547"/>
      <c r="AK80" s="547"/>
    </row>
  </sheetData>
  <sheetProtection/>
  <mergeCells count="42">
    <mergeCell ref="A37:B37"/>
    <mergeCell ref="A38:B38"/>
    <mergeCell ref="AA20:AB20"/>
    <mergeCell ref="AC20:AD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W20:X20"/>
    <mergeCell ref="Y20:Z20"/>
    <mergeCell ref="AK4:AL4"/>
    <mergeCell ref="A14:B14"/>
    <mergeCell ref="A15:B15"/>
    <mergeCell ref="A20:B21"/>
    <mergeCell ref="C20:D20"/>
    <mergeCell ref="E20:F20"/>
    <mergeCell ref="G20:H20"/>
    <mergeCell ref="I20:J20"/>
    <mergeCell ref="K20:L20"/>
    <mergeCell ref="M20:N20"/>
    <mergeCell ref="Y4:Z4"/>
    <mergeCell ref="AA4:AB4"/>
    <mergeCell ref="AC4:AD4"/>
    <mergeCell ref="AE4:AF4"/>
    <mergeCell ref="AG4:AH4"/>
    <mergeCell ref="AI4:AJ4"/>
    <mergeCell ref="M4:N4"/>
    <mergeCell ref="O4:P4"/>
    <mergeCell ref="Q4:R4"/>
    <mergeCell ref="S4:T4"/>
    <mergeCell ref="U4:V4"/>
    <mergeCell ref="W4:X4"/>
    <mergeCell ref="A4:B5"/>
    <mergeCell ref="C4:D4"/>
    <mergeCell ref="E4:F4"/>
    <mergeCell ref="G4:H4"/>
    <mergeCell ref="I4:J4"/>
    <mergeCell ref="K4:L4"/>
  </mergeCells>
  <printOptions/>
  <pageMargins left="0.5905511811023623" right="0.5905511811023623" top="0.3937007874015748" bottom="0.1968503937007874" header="0.5905511811023623" footer="0.1968503937007874"/>
  <pageSetup horizontalDpi="600" verticalDpi="600" orientation="portrait" paperSize="9" scale="86" r:id="rId1"/>
  <headerFooter alignWithMargins="0">
    <oddFooter>&amp;C&amp;14- &amp;P+49 -</oddFooter>
  </headerFooter>
  <rowBreaks count="1" manualBreakCount="1">
    <brk id="39" max="37" man="1"/>
  </rowBreaks>
  <colBreaks count="1" manualBreakCount="1">
    <brk id="32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L63"/>
  <sheetViews>
    <sheetView showGridLines="0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D55" sqref="AD55"/>
    </sheetView>
  </sheetViews>
  <sheetFormatPr defaultColWidth="9.00390625" defaultRowHeight="13.5"/>
  <cols>
    <col min="1" max="1" width="19.125" style="579" customWidth="1"/>
    <col min="2" max="2" width="26.75390625" style="579" customWidth="1"/>
    <col min="3" max="3" width="9.875" style="579" hidden="1" customWidth="1"/>
    <col min="4" max="4" width="11.00390625" style="579" hidden="1" customWidth="1"/>
    <col min="5" max="5" width="9.75390625" style="579" hidden="1" customWidth="1"/>
    <col min="6" max="6" width="11.00390625" style="579" hidden="1" customWidth="1"/>
    <col min="7" max="7" width="9.75390625" style="579" hidden="1" customWidth="1"/>
    <col min="8" max="8" width="11.00390625" style="579" hidden="1" customWidth="1"/>
    <col min="9" max="9" width="9.75390625" style="579" hidden="1" customWidth="1"/>
    <col min="10" max="10" width="11.00390625" style="579" hidden="1" customWidth="1"/>
    <col min="11" max="11" width="9.75390625" style="579" hidden="1" customWidth="1"/>
    <col min="12" max="12" width="11.00390625" style="579" hidden="1" customWidth="1"/>
    <col min="13" max="13" width="9.75390625" style="579" hidden="1" customWidth="1"/>
    <col min="14" max="14" width="11.00390625" style="579" hidden="1" customWidth="1"/>
    <col min="15" max="15" width="9.75390625" style="579" hidden="1" customWidth="1"/>
    <col min="16" max="16" width="11.00390625" style="579" hidden="1" customWidth="1"/>
    <col min="17" max="17" width="9.75390625" style="579" hidden="1" customWidth="1"/>
    <col min="18" max="18" width="11.00390625" style="579" hidden="1" customWidth="1"/>
    <col min="19" max="19" width="9.75390625" style="579" hidden="1" customWidth="1"/>
    <col min="20" max="20" width="11.00390625" style="579" hidden="1" customWidth="1"/>
    <col min="21" max="21" width="9.75390625" style="579" hidden="1" customWidth="1"/>
    <col min="22" max="24" width="11.00390625" style="579" hidden="1" customWidth="1"/>
    <col min="25" max="25" width="10.00390625" style="579" hidden="1" customWidth="1"/>
    <col min="26" max="26" width="10.50390625" style="579" hidden="1" customWidth="1"/>
    <col min="27" max="27" width="10.25390625" style="579" hidden="1" customWidth="1"/>
    <col min="28" max="28" width="10.375" style="579" hidden="1" customWidth="1"/>
    <col min="29" max="29" width="11.00390625" style="579" customWidth="1"/>
    <col min="30" max="30" width="11.50390625" style="579" customWidth="1"/>
    <col min="31" max="31" width="10.75390625" style="579" customWidth="1"/>
    <col min="32" max="32" width="11.375" style="579" customWidth="1"/>
    <col min="33" max="33" width="10.50390625" style="579" customWidth="1"/>
    <col min="34" max="34" width="12.00390625" style="579" customWidth="1"/>
    <col min="35" max="35" width="10.50390625" style="579" customWidth="1"/>
    <col min="36" max="36" width="12.00390625" style="579" customWidth="1"/>
    <col min="37" max="37" width="10.50390625" style="579" customWidth="1"/>
    <col min="38" max="38" width="12.00390625" style="579" customWidth="1"/>
    <col min="39" max="16384" width="9.00390625" style="579" customWidth="1"/>
  </cols>
  <sheetData>
    <row r="1" ht="15.75" customHeight="1">
      <c r="V1" s="580"/>
    </row>
    <row r="2" spans="1:24" ht="21.75" customHeight="1">
      <c r="A2" s="581" t="s">
        <v>255</v>
      </c>
      <c r="M2" s="580"/>
      <c r="N2" s="580"/>
      <c r="O2" s="580"/>
      <c r="P2" s="580"/>
      <c r="Q2" s="580"/>
      <c r="R2" s="580"/>
      <c r="S2" s="580"/>
      <c r="T2" s="580"/>
      <c r="V2" s="580"/>
      <c r="W2" s="580"/>
      <c r="X2" s="580"/>
    </row>
    <row r="3" spans="1:38" ht="21" customHeight="1" thickBot="1">
      <c r="A3" s="579" t="s">
        <v>256</v>
      </c>
      <c r="D3" s="582"/>
      <c r="F3" s="582"/>
      <c r="H3" s="582"/>
      <c r="J3" s="582"/>
      <c r="L3" s="582"/>
      <c r="M3" s="580"/>
      <c r="N3" s="583"/>
      <c r="O3" s="580"/>
      <c r="P3" s="583"/>
      <c r="Q3" s="580"/>
      <c r="R3" s="583"/>
      <c r="S3" s="580"/>
      <c r="T3" s="583"/>
      <c r="U3" s="580"/>
      <c r="V3" s="583"/>
      <c r="W3" s="583"/>
      <c r="X3" s="583"/>
      <c r="Z3" s="582"/>
      <c r="AB3" s="582"/>
      <c r="AD3" s="582"/>
      <c r="AF3" s="582"/>
      <c r="AH3" s="582"/>
      <c r="AJ3" s="582"/>
      <c r="AL3" s="582" t="s">
        <v>47</v>
      </c>
    </row>
    <row r="4" spans="1:38" ht="13.5" customHeight="1">
      <c r="A4" s="916" t="s">
        <v>257</v>
      </c>
      <c r="B4" s="917"/>
      <c r="C4" s="920" t="s">
        <v>85</v>
      </c>
      <c r="D4" s="920"/>
      <c r="E4" s="920" t="s">
        <v>86</v>
      </c>
      <c r="F4" s="920"/>
      <c r="G4" s="920" t="s">
        <v>87</v>
      </c>
      <c r="H4" s="920"/>
      <c r="I4" s="920" t="s">
        <v>88</v>
      </c>
      <c r="J4" s="920"/>
      <c r="K4" s="921" t="s">
        <v>89</v>
      </c>
      <c r="L4" s="921"/>
      <c r="M4" s="921" t="s">
        <v>90</v>
      </c>
      <c r="N4" s="921"/>
      <c r="O4" s="921" t="s">
        <v>91</v>
      </c>
      <c r="P4" s="924"/>
      <c r="Q4" s="921" t="s">
        <v>92</v>
      </c>
      <c r="R4" s="924"/>
      <c r="S4" s="924" t="s">
        <v>171</v>
      </c>
      <c r="T4" s="925"/>
      <c r="U4" s="924" t="s">
        <v>26</v>
      </c>
      <c r="V4" s="925"/>
      <c r="W4" s="922" t="s">
        <v>139</v>
      </c>
      <c r="X4" s="926"/>
      <c r="Y4" s="922" t="s">
        <v>140</v>
      </c>
      <c r="Z4" s="926"/>
      <c r="AA4" s="923" t="s">
        <v>32</v>
      </c>
      <c r="AB4" s="926"/>
      <c r="AC4" s="922" t="s">
        <v>35</v>
      </c>
      <c r="AD4" s="923"/>
      <c r="AE4" s="922" t="s">
        <v>48</v>
      </c>
      <c r="AF4" s="923"/>
      <c r="AG4" s="922" t="s">
        <v>258</v>
      </c>
      <c r="AH4" s="923"/>
      <c r="AI4" s="922" t="s">
        <v>259</v>
      </c>
      <c r="AJ4" s="923"/>
      <c r="AK4" s="927" t="s">
        <v>260</v>
      </c>
      <c r="AL4" s="928"/>
    </row>
    <row r="5" spans="1:38" ht="12" customHeight="1">
      <c r="A5" s="918"/>
      <c r="B5" s="919"/>
      <c r="C5" s="584" t="s">
        <v>212</v>
      </c>
      <c r="D5" s="584" t="s">
        <v>213</v>
      </c>
      <c r="E5" s="585" t="s">
        <v>212</v>
      </c>
      <c r="F5" s="584" t="s">
        <v>213</v>
      </c>
      <c r="G5" s="584" t="s">
        <v>212</v>
      </c>
      <c r="H5" s="584" t="s">
        <v>213</v>
      </c>
      <c r="I5" s="584" t="s">
        <v>212</v>
      </c>
      <c r="J5" s="584" t="s">
        <v>213</v>
      </c>
      <c r="K5" s="586" t="s">
        <v>212</v>
      </c>
      <c r="L5" s="586" t="s">
        <v>213</v>
      </c>
      <c r="M5" s="586" t="s">
        <v>212</v>
      </c>
      <c r="N5" s="586" t="s">
        <v>213</v>
      </c>
      <c r="O5" s="586" t="s">
        <v>212</v>
      </c>
      <c r="P5" s="587" t="s">
        <v>213</v>
      </c>
      <c r="Q5" s="586" t="s">
        <v>212</v>
      </c>
      <c r="R5" s="587" t="s">
        <v>213</v>
      </c>
      <c r="S5" s="586" t="s">
        <v>212</v>
      </c>
      <c r="T5" s="586" t="s">
        <v>213</v>
      </c>
      <c r="U5" s="586" t="s">
        <v>212</v>
      </c>
      <c r="V5" s="586" t="s">
        <v>213</v>
      </c>
      <c r="W5" s="588" t="s">
        <v>212</v>
      </c>
      <c r="X5" s="589" t="s">
        <v>213</v>
      </c>
      <c r="Y5" s="588" t="s">
        <v>212</v>
      </c>
      <c r="Z5" s="589" t="s">
        <v>213</v>
      </c>
      <c r="AA5" s="590" t="s">
        <v>212</v>
      </c>
      <c r="AB5" s="589" t="s">
        <v>213</v>
      </c>
      <c r="AC5" s="588" t="s">
        <v>212</v>
      </c>
      <c r="AD5" s="591" t="s">
        <v>213</v>
      </c>
      <c r="AE5" s="588" t="s">
        <v>212</v>
      </c>
      <c r="AF5" s="591" t="s">
        <v>213</v>
      </c>
      <c r="AG5" s="588" t="s">
        <v>212</v>
      </c>
      <c r="AH5" s="591" t="s">
        <v>213</v>
      </c>
      <c r="AI5" s="588" t="s">
        <v>212</v>
      </c>
      <c r="AJ5" s="591" t="s">
        <v>213</v>
      </c>
      <c r="AK5" s="592" t="s">
        <v>212</v>
      </c>
      <c r="AL5" s="593" t="s">
        <v>213</v>
      </c>
    </row>
    <row r="6" spans="1:38" ht="15" customHeight="1" hidden="1">
      <c r="A6" s="594" t="s">
        <v>261</v>
      </c>
      <c r="B6" s="595"/>
      <c r="C6" s="596" t="s">
        <v>108</v>
      </c>
      <c r="D6" s="596"/>
      <c r="E6" s="597" t="s">
        <v>108</v>
      </c>
      <c r="F6" s="596"/>
      <c r="G6" s="597" t="s">
        <v>262</v>
      </c>
      <c r="H6" s="596"/>
      <c r="I6" s="597" t="s">
        <v>262</v>
      </c>
      <c r="J6" s="596"/>
      <c r="K6" s="598" t="s">
        <v>262</v>
      </c>
      <c r="L6" s="599"/>
      <c r="M6" s="598" t="s">
        <v>262</v>
      </c>
      <c r="N6" s="599"/>
      <c r="O6" s="598" t="s">
        <v>262</v>
      </c>
      <c r="P6" s="600"/>
      <c r="Q6" s="598" t="s">
        <v>262</v>
      </c>
      <c r="R6" s="600"/>
      <c r="S6" s="598" t="s">
        <v>262</v>
      </c>
      <c r="T6" s="599"/>
      <c r="U6" s="599"/>
      <c r="V6" s="599"/>
      <c r="W6" s="596"/>
      <c r="X6" s="601"/>
      <c r="Y6" s="596"/>
      <c r="Z6" s="601"/>
      <c r="AA6" s="601"/>
      <c r="AB6" s="601"/>
      <c r="AC6" s="596"/>
      <c r="AD6" s="602"/>
      <c r="AE6" s="596"/>
      <c r="AF6" s="602"/>
      <c r="AG6" s="596"/>
      <c r="AH6" s="602"/>
      <c r="AI6" s="596"/>
      <c r="AJ6" s="602"/>
      <c r="AK6" s="599"/>
      <c r="AL6" s="603"/>
    </row>
    <row r="7" spans="1:38" ht="9.75" customHeight="1" hidden="1">
      <c r="A7" s="594" t="s">
        <v>263</v>
      </c>
      <c r="B7" s="595" t="s">
        <v>264</v>
      </c>
      <c r="C7" s="604">
        <v>0</v>
      </c>
      <c r="D7" s="604">
        <v>0</v>
      </c>
      <c r="E7" s="605">
        <v>0</v>
      </c>
      <c r="F7" s="604">
        <v>0</v>
      </c>
      <c r="G7" s="604">
        <v>0</v>
      </c>
      <c r="H7" s="604">
        <v>0</v>
      </c>
      <c r="I7" s="604">
        <v>0</v>
      </c>
      <c r="J7" s="604">
        <v>0</v>
      </c>
      <c r="K7" s="606">
        <v>0</v>
      </c>
      <c r="L7" s="606">
        <v>0</v>
      </c>
      <c r="M7" s="606">
        <v>0</v>
      </c>
      <c r="N7" s="606">
        <v>0</v>
      </c>
      <c r="O7" s="606">
        <v>0</v>
      </c>
      <c r="P7" s="607">
        <v>0</v>
      </c>
      <c r="Q7" s="606">
        <v>0</v>
      </c>
      <c r="R7" s="607">
        <v>0</v>
      </c>
      <c r="S7" s="606">
        <v>0</v>
      </c>
      <c r="T7" s="606">
        <v>0</v>
      </c>
      <c r="U7" s="606"/>
      <c r="V7" s="606"/>
      <c r="W7" s="596"/>
      <c r="X7" s="601"/>
      <c r="Y7" s="596"/>
      <c r="Z7" s="601"/>
      <c r="AA7" s="601"/>
      <c r="AB7" s="601"/>
      <c r="AC7" s="596"/>
      <c r="AD7" s="602"/>
      <c r="AE7" s="596"/>
      <c r="AF7" s="602"/>
      <c r="AG7" s="596"/>
      <c r="AH7" s="602"/>
      <c r="AI7" s="596"/>
      <c r="AJ7" s="602"/>
      <c r="AK7" s="599"/>
      <c r="AL7" s="603"/>
    </row>
    <row r="8" spans="1:38" ht="16.5" customHeight="1" hidden="1">
      <c r="A8" s="594"/>
      <c r="B8" s="595" t="s">
        <v>265</v>
      </c>
      <c r="C8" s="604">
        <v>0</v>
      </c>
      <c r="D8" s="604">
        <v>0</v>
      </c>
      <c r="E8" s="605">
        <v>0</v>
      </c>
      <c r="F8" s="604">
        <v>0</v>
      </c>
      <c r="G8" s="604">
        <v>0</v>
      </c>
      <c r="H8" s="604">
        <v>0</v>
      </c>
      <c r="I8" s="604">
        <v>0</v>
      </c>
      <c r="J8" s="604">
        <v>0</v>
      </c>
      <c r="K8" s="606">
        <v>0</v>
      </c>
      <c r="L8" s="606">
        <v>0</v>
      </c>
      <c r="M8" s="606">
        <v>0</v>
      </c>
      <c r="N8" s="606">
        <v>0</v>
      </c>
      <c r="O8" s="606">
        <v>0</v>
      </c>
      <c r="P8" s="607">
        <v>0</v>
      </c>
      <c r="Q8" s="606">
        <v>0</v>
      </c>
      <c r="R8" s="607">
        <v>0</v>
      </c>
      <c r="S8" s="606">
        <v>0</v>
      </c>
      <c r="T8" s="606">
        <v>0</v>
      </c>
      <c r="U8" s="606"/>
      <c r="V8" s="606"/>
      <c r="W8" s="596"/>
      <c r="X8" s="601"/>
      <c r="Y8" s="596"/>
      <c r="Z8" s="601"/>
      <c r="AA8" s="601"/>
      <c r="AB8" s="601"/>
      <c r="AC8" s="596"/>
      <c r="AD8" s="602"/>
      <c r="AE8" s="596"/>
      <c r="AF8" s="602"/>
      <c r="AG8" s="596"/>
      <c r="AH8" s="602"/>
      <c r="AI8" s="596"/>
      <c r="AJ8" s="602"/>
      <c r="AK8" s="599"/>
      <c r="AL8" s="603"/>
    </row>
    <row r="9" spans="1:38" ht="15.75" customHeight="1" hidden="1">
      <c r="A9" s="594"/>
      <c r="B9" s="595" t="s">
        <v>266</v>
      </c>
      <c r="C9" s="604">
        <v>0</v>
      </c>
      <c r="D9" s="604">
        <v>0</v>
      </c>
      <c r="E9" s="605">
        <v>0</v>
      </c>
      <c r="F9" s="604">
        <v>0</v>
      </c>
      <c r="G9" s="604">
        <v>0</v>
      </c>
      <c r="H9" s="604">
        <v>0</v>
      </c>
      <c r="I9" s="604">
        <v>0</v>
      </c>
      <c r="J9" s="604">
        <v>0</v>
      </c>
      <c r="K9" s="606">
        <v>0</v>
      </c>
      <c r="L9" s="606">
        <v>0</v>
      </c>
      <c r="M9" s="606">
        <v>0</v>
      </c>
      <c r="N9" s="606">
        <v>0</v>
      </c>
      <c r="O9" s="606">
        <v>0</v>
      </c>
      <c r="P9" s="607">
        <v>0</v>
      </c>
      <c r="Q9" s="606">
        <v>0</v>
      </c>
      <c r="R9" s="607">
        <v>0</v>
      </c>
      <c r="S9" s="606">
        <v>0</v>
      </c>
      <c r="T9" s="606">
        <v>0</v>
      </c>
      <c r="U9" s="606"/>
      <c r="V9" s="606"/>
      <c r="W9" s="596"/>
      <c r="X9" s="601"/>
      <c r="Y9" s="596"/>
      <c r="Z9" s="601"/>
      <c r="AA9" s="601"/>
      <c r="AB9" s="601"/>
      <c r="AC9" s="596"/>
      <c r="AD9" s="602"/>
      <c r="AE9" s="596"/>
      <c r="AF9" s="602"/>
      <c r="AG9" s="596"/>
      <c r="AH9" s="602"/>
      <c r="AI9" s="596"/>
      <c r="AJ9" s="602"/>
      <c r="AK9" s="599"/>
      <c r="AL9" s="603"/>
    </row>
    <row r="10" spans="1:38" ht="10.5" customHeight="1" hidden="1">
      <c r="A10" s="594"/>
      <c r="B10" s="608" t="s">
        <v>267</v>
      </c>
      <c r="C10" s="605">
        <v>0</v>
      </c>
      <c r="D10" s="604">
        <v>0</v>
      </c>
      <c r="E10" s="605">
        <v>0</v>
      </c>
      <c r="F10" s="604">
        <v>0</v>
      </c>
      <c r="G10" s="604">
        <v>0</v>
      </c>
      <c r="H10" s="604">
        <v>0</v>
      </c>
      <c r="I10" s="604">
        <v>0</v>
      </c>
      <c r="J10" s="604">
        <v>0</v>
      </c>
      <c r="K10" s="606">
        <v>0</v>
      </c>
      <c r="L10" s="606">
        <v>0</v>
      </c>
      <c r="M10" s="606">
        <v>0</v>
      </c>
      <c r="N10" s="606">
        <v>0</v>
      </c>
      <c r="O10" s="606">
        <v>0</v>
      </c>
      <c r="P10" s="607">
        <v>0</v>
      </c>
      <c r="Q10" s="606">
        <v>0</v>
      </c>
      <c r="R10" s="607">
        <v>0</v>
      </c>
      <c r="S10" s="606">
        <v>0</v>
      </c>
      <c r="T10" s="606">
        <v>0</v>
      </c>
      <c r="U10" s="606"/>
      <c r="V10" s="606"/>
      <c r="W10" s="596"/>
      <c r="X10" s="601"/>
      <c r="Y10" s="596"/>
      <c r="Z10" s="601"/>
      <c r="AA10" s="601"/>
      <c r="AB10" s="601"/>
      <c r="AC10" s="596"/>
      <c r="AD10" s="602"/>
      <c r="AE10" s="596"/>
      <c r="AF10" s="602"/>
      <c r="AG10" s="596"/>
      <c r="AH10" s="602"/>
      <c r="AI10" s="596"/>
      <c r="AJ10" s="602"/>
      <c r="AK10" s="599"/>
      <c r="AL10" s="603"/>
    </row>
    <row r="11" spans="1:38" ht="18.75" customHeight="1" hidden="1">
      <c r="A11" s="609"/>
      <c r="B11" s="610" t="s">
        <v>3</v>
      </c>
      <c r="C11" s="611">
        <v>0</v>
      </c>
      <c r="D11" s="612">
        <v>0</v>
      </c>
      <c r="E11" s="611">
        <v>0</v>
      </c>
      <c r="F11" s="612">
        <v>0</v>
      </c>
      <c r="G11" s="612">
        <v>0</v>
      </c>
      <c r="H11" s="612">
        <v>0</v>
      </c>
      <c r="I11" s="612">
        <v>0</v>
      </c>
      <c r="J11" s="612">
        <v>0</v>
      </c>
      <c r="K11" s="613">
        <v>0</v>
      </c>
      <c r="L11" s="613">
        <v>0</v>
      </c>
      <c r="M11" s="613">
        <v>0</v>
      </c>
      <c r="N11" s="613">
        <v>0</v>
      </c>
      <c r="O11" s="613">
        <v>0</v>
      </c>
      <c r="P11" s="614">
        <v>0</v>
      </c>
      <c r="Q11" s="613">
        <v>0</v>
      </c>
      <c r="R11" s="614">
        <v>0</v>
      </c>
      <c r="S11" s="613">
        <v>0</v>
      </c>
      <c r="T11" s="613">
        <v>0</v>
      </c>
      <c r="U11" s="615"/>
      <c r="V11" s="615"/>
      <c r="W11" s="596"/>
      <c r="X11" s="601"/>
      <c r="Y11" s="596"/>
      <c r="Z11" s="601"/>
      <c r="AA11" s="601"/>
      <c r="AB11" s="601"/>
      <c r="AC11" s="596"/>
      <c r="AD11" s="602"/>
      <c r="AE11" s="596"/>
      <c r="AF11" s="602"/>
      <c r="AG11" s="596"/>
      <c r="AH11" s="602"/>
      <c r="AI11" s="596"/>
      <c r="AJ11" s="602"/>
      <c r="AK11" s="599"/>
      <c r="AL11" s="603"/>
    </row>
    <row r="12" spans="1:38" ht="18" customHeight="1">
      <c r="A12" s="594"/>
      <c r="B12" s="595" t="s">
        <v>268</v>
      </c>
      <c r="C12" s="605">
        <v>0</v>
      </c>
      <c r="D12" s="604">
        <v>0</v>
      </c>
      <c r="E12" s="605">
        <v>44347</v>
      </c>
      <c r="F12" s="604">
        <v>14782</v>
      </c>
      <c r="G12" s="604">
        <v>37998</v>
      </c>
      <c r="H12" s="604">
        <v>12666</v>
      </c>
      <c r="I12" s="604">
        <v>42444</v>
      </c>
      <c r="J12" s="604">
        <v>14148</v>
      </c>
      <c r="K12" s="606">
        <v>36385</v>
      </c>
      <c r="L12" s="606">
        <v>12128</v>
      </c>
      <c r="M12" s="606">
        <v>41669</v>
      </c>
      <c r="N12" s="606">
        <v>13890</v>
      </c>
      <c r="O12" s="606">
        <v>29071</v>
      </c>
      <c r="P12" s="607">
        <v>9690</v>
      </c>
      <c r="Q12" s="606">
        <v>119470</v>
      </c>
      <c r="R12" s="607">
        <v>39824</v>
      </c>
      <c r="S12" s="606">
        <v>150603</v>
      </c>
      <c r="T12" s="606">
        <v>50200</v>
      </c>
      <c r="U12" s="606">
        <v>137166</v>
      </c>
      <c r="V12" s="606">
        <v>45722</v>
      </c>
      <c r="W12" s="616">
        <v>54459</v>
      </c>
      <c r="X12" s="617">
        <v>18153</v>
      </c>
      <c r="Y12" s="616">
        <v>75465</v>
      </c>
      <c r="Z12" s="617">
        <v>25155</v>
      </c>
      <c r="AA12" s="617">
        <v>30212</v>
      </c>
      <c r="AB12" s="617">
        <v>10071</v>
      </c>
      <c r="AC12" s="616">
        <v>7230</v>
      </c>
      <c r="AD12" s="618">
        <v>2410</v>
      </c>
      <c r="AE12" s="616">
        <v>1494</v>
      </c>
      <c r="AF12" s="618">
        <v>498</v>
      </c>
      <c r="AG12" s="616">
        <v>1252</v>
      </c>
      <c r="AH12" s="618">
        <v>417</v>
      </c>
      <c r="AI12" s="616">
        <v>11158</v>
      </c>
      <c r="AJ12" s="618">
        <v>3720</v>
      </c>
      <c r="AK12" s="619">
        <v>10033</v>
      </c>
      <c r="AL12" s="620">
        <v>3344</v>
      </c>
    </row>
    <row r="13" spans="1:38" ht="18" customHeight="1">
      <c r="A13" s="594" t="s">
        <v>269</v>
      </c>
      <c r="B13" s="595" t="s">
        <v>270</v>
      </c>
      <c r="C13" s="621">
        <v>146</v>
      </c>
      <c r="D13" s="622">
        <v>98</v>
      </c>
      <c r="E13" s="621">
        <v>125</v>
      </c>
      <c r="F13" s="622">
        <v>84</v>
      </c>
      <c r="G13" s="621">
        <v>108</v>
      </c>
      <c r="H13" s="622">
        <v>72</v>
      </c>
      <c r="I13" s="604">
        <v>0</v>
      </c>
      <c r="J13" s="604">
        <v>0</v>
      </c>
      <c r="K13" s="606">
        <v>0</v>
      </c>
      <c r="L13" s="606">
        <v>0</v>
      </c>
      <c r="M13" s="606">
        <v>422</v>
      </c>
      <c r="N13" s="606">
        <v>281</v>
      </c>
      <c r="O13" s="606">
        <v>20853</v>
      </c>
      <c r="P13" s="607">
        <v>13902</v>
      </c>
      <c r="Q13" s="606">
        <v>17869</v>
      </c>
      <c r="R13" s="607">
        <v>11913</v>
      </c>
      <c r="S13" s="606">
        <v>19908</v>
      </c>
      <c r="T13" s="623">
        <v>13272</v>
      </c>
      <c r="U13" s="623">
        <v>17066</v>
      </c>
      <c r="V13" s="623">
        <v>11377</v>
      </c>
      <c r="W13" s="621">
        <v>18785</v>
      </c>
      <c r="X13" s="624">
        <v>12524</v>
      </c>
      <c r="Y13" s="621">
        <v>13030</v>
      </c>
      <c r="Z13" s="624">
        <v>8686</v>
      </c>
      <c r="AA13" s="624">
        <v>44139</v>
      </c>
      <c r="AB13" s="624">
        <v>29426</v>
      </c>
      <c r="AC13" s="621">
        <v>62644</v>
      </c>
      <c r="AD13" s="625">
        <v>41763</v>
      </c>
      <c r="AE13" s="621">
        <v>57160</v>
      </c>
      <c r="AF13" s="625">
        <v>38107</v>
      </c>
      <c r="AG13" s="621">
        <v>46197</v>
      </c>
      <c r="AH13" s="625">
        <v>30798</v>
      </c>
      <c r="AI13" s="621">
        <v>35778</v>
      </c>
      <c r="AJ13" s="625">
        <v>23852</v>
      </c>
      <c r="AK13" s="626">
        <v>16317</v>
      </c>
      <c r="AL13" s="627">
        <v>10878</v>
      </c>
    </row>
    <row r="14" spans="1:38" ht="18" customHeight="1">
      <c r="A14" s="594"/>
      <c r="B14" s="628" t="s">
        <v>3</v>
      </c>
      <c r="C14" s="629">
        <v>146</v>
      </c>
      <c r="D14" s="629">
        <v>98</v>
      </c>
      <c r="E14" s="629">
        <v>44472</v>
      </c>
      <c r="F14" s="629">
        <v>14866</v>
      </c>
      <c r="G14" s="629">
        <f aca="true" t="shared" si="0" ref="G14:AL14">SUM(G12:G13)</f>
        <v>38106</v>
      </c>
      <c r="H14" s="629">
        <f t="shared" si="0"/>
        <v>12738</v>
      </c>
      <c r="I14" s="629">
        <f t="shared" si="0"/>
        <v>42444</v>
      </c>
      <c r="J14" s="629">
        <f t="shared" si="0"/>
        <v>14148</v>
      </c>
      <c r="K14" s="629">
        <f t="shared" si="0"/>
        <v>36385</v>
      </c>
      <c r="L14" s="629">
        <f t="shared" si="0"/>
        <v>12128</v>
      </c>
      <c r="M14" s="629">
        <f t="shared" si="0"/>
        <v>42091</v>
      </c>
      <c r="N14" s="629">
        <f t="shared" si="0"/>
        <v>14171</v>
      </c>
      <c r="O14" s="629">
        <f t="shared" si="0"/>
        <v>49924</v>
      </c>
      <c r="P14" s="630">
        <f t="shared" si="0"/>
        <v>23592</v>
      </c>
      <c r="Q14" s="629">
        <f t="shared" si="0"/>
        <v>137339</v>
      </c>
      <c r="R14" s="630">
        <f t="shared" si="0"/>
        <v>51737</v>
      </c>
      <c r="S14" s="629">
        <f t="shared" si="0"/>
        <v>170511</v>
      </c>
      <c r="T14" s="629">
        <f t="shared" si="0"/>
        <v>63472</v>
      </c>
      <c r="U14" s="629">
        <f t="shared" si="0"/>
        <v>154232</v>
      </c>
      <c r="V14" s="629">
        <f t="shared" si="0"/>
        <v>57099</v>
      </c>
      <c r="W14" s="631">
        <f t="shared" si="0"/>
        <v>73244</v>
      </c>
      <c r="X14" s="632">
        <f t="shared" si="0"/>
        <v>30677</v>
      </c>
      <c r="Y14" s="631">
        <f t="shared" si="0"/>
        <v>88495</v>
      </c>
      <c r="Z14" s="632">
        <f t="shared" si="0"/>
        <v>33841</v>
      </c>
      <c r="AA14" s="632">
        <f t="shared" si="0"/>
        <v>74351</v>
      </c>
      <c r="AB14" s="632">
        <f t="shared" si="0"/>
        <v>39497</v>
      </c>
      <c r="AC14" s="631">
        <f t="shared" si="0"/>
        <v>69874</v>
      </c>
      <c r="AD14" s="633">
        <f t="shared" si="0"/>
        <v>44173</v>
      </c>
      <c r="AE14" s="631">
        <f t="shared" si="0"/>
        <v>58654</v>
      </c>
      <c r="AF14" s="633">
        <f t="shared" si="0"/>
        <v>38605</v>
      </c>
      <c r="AG14" s="631">
        <f t="shared" si="0"/>
        <v>47449</v>
      </c>
      <c r="AH14" s="633">
        <f t="shared" si="0"/>
        <v>31215</v>
      </c>
      <c r="AI14" s="631">
        <f t="shared" si="0"/>
        <v>46936</v>
      </c>
      <c r="AJ14" s="633">
        <f t="shared" si="0"/>
        <v>27572</v>
      </c>
      <c r="AK14" s="631">
        <f t="shared" si="0"/>
        <v>26350</v>
      </c>
      <c r="AL14" s="634">
        <f t="shared" si="0"/>
        <v>14222</v>
      </c>
    </row>
    <row r="15" spans="1:38" ht="18" customHeight="1">
      <c r="A15" s="635" t="s">
        <v>271</v>
      </c>
      <c r="B15" s="636" t="s">
        <v>272</v>
      </c>
      <c r="C15" s="629">
        <v>436228</v>
      </c>
      <c r="D15" s="629">
        <v>218114</v>
      </c>
      <c r="E15" s="630">
        <v>1871916</v>
      </c>
      <c r="F15" s="629">
        <v>935958</v>
      </c>
      <c r="G15" s="629">
        <v>1499184</v>
      </c>
      <c r="H15" s="629">
        <v>749592</v>
      </c>
      <c r="I15" s="629">
        <v>1109186</v>
      </c>
      <c r="J15" s="629">
        <v>554593</v>
      </c>
      <c r="K15" s="629">
        <v>851694</v>
      </c>
      <c r="L15" s="629">
        <v>425847</v>
      </c>
      <c r="M15" s="629">
        <v>861079</v>
      </c>
      <c r="N15" s="629">
        <v>430539</v>
      </c>
      <c r="O15" s="629">
        <v>684745</v>
      </c>
      <c r="P15" s="630">
        <v>342372</v>
      </c>
      <c r="Q15" s="629">
        <v>638325</v>
      </c>
      <c r="R15" s="630">
        <v>319162</v>
      </c>
      <c r="S15" s="629">
        <v>549521</v>
      </c>
      <c r="T15" s="629">
        <v>274761</v>
      </c>
      <c r="U15" s="629">
        <v>747419</v>
      </c>
      <c r="V15" s="629">
        <v>373709</v>
      </c>
      <c r="W15" s="631">
        <v>719663</v>
      </c>
      <c r="X15" s="632">
        <v>359831</v>
      </c>
      <c r="Y15" s="631">
        <v>674681</v>
      </c>
      <c r="Z15" s="632">
        <v>337340</v>
      </c>
      <c r="AA15" s="632">
        <v>767155</v>
      </c>
      <c r="AB15" s="632">
        <v>383577</v>
      </c>
      <c r="AC15" s="631">
        <v>769078</v>
      </c>
      <c r="AD15" s="633">
        <v>384539</v>
      </c>
      <c r="AE15" s="631">
        <v>884042</v>
      </c>
      <c r="AF15" s="633">
        <v>442021</v>
      </c>
      <c r="AG15" s="631">
        <v>810292</v>
      </c>
      <c r="AH15" s="633">
        <v>405146</v>
      </c>
      <c r="AI15" s="631">
        <v>1114437</v>
      </c>
      <c r="AJ15" s="633">
        <v>557218</v>
      </c>
      <c r="AK15" s="629">
        <v>1159239</v>
      </c>
      <c r="AL15" s="637">
        <v>579619</v>
      </c>
    </row>
    <row r="16" spans="1:38" ht="18" customHeight="1">
      <c r="A16" s="635" t="s">
        <v>273</v>
      </c>
      <c r="B16" s="636" t="s">
        <v>274</v>
      </c>
      <c r="C16" s="613">
        <v>0</v>
      </c>
      <c r="D16" s="613">
        <v>0</v>
      </c>
      <c r="E16" s="613">
        <v>0</v>
      </c>
      <c r="F16" s="613">
        <v>0</v>
      </c>
      <c r="G16" s="613">
        <v>0</v>
      </c>
      <c r="H16" s="613">
        <v>0</v>
      </c>
      <c r="I16" s="613">
        <v>0</v>
      </c>
      <c r="J16" s="613">
        <v>0</v>
      </c>
      <c r="K16" s="613">
        <v>0</v>
      </c>
      <c r="L16" s="613">
        <v>0</v>
      </c>
      <c r="M16" s="613">
        <v>0</v>
      </c>
      <c r="N16" s="613">
        <v>0</v>
      </c>
      <c r="O16" s="613">
        <v>0</v>
      </c>
      <c r="P16" s="613">
        <v>0</v>
      </c>
      <c r="Q16" s="638">
        <v>0</v>
      </c>
      <c r="R16" s="638">
        <v>0</v>
      </c>
      <c r="S16" s="638">
        <v>0</v>
      </c>
      <c r="T16" s="638">
        <v>0</v>
      </c>
      <c r="U16" s="613">
        <v>0</v>
      </c>
      <c r="V16" s="613">
        <v>0</v>
      </c>
      <c r="W16" s="613">
        <v>0</v>
      </c>
      <c r="X16" s="613">
        <v>0</v>
      </c>
      <c r="Y16" s="631">
        <v>8064</v>
      </c>
      <c r="Z16" s="632">
        <v>5376</v>
      </c>
      <c r="AA16" s="632">
        <v>41</v>
      </c>
      <c r="AB16" s="632">
        <v>27</v>
      </c>
      <c r="AC16" s="613">
        <v>0</v>
      </c>
      <c r="AD16" s="639">
        <v>0</v>
      </c>
      <c r="AE16" s="613">
        <v>0</v>
      </c>
      <c r="AF16" s="639">
        <v>0</v>
      </c>
      <c r="AG16" s="613">
        <v>0</v>
      </c>
      <c r="AH16" s="639">
        <v>0</v>
      </c>
      <c r="AI16" s="613">
        <v>0</v>
      </c>
      <c r="AJ16" s="639">
        <v>0</v>
      </c>
      <c r="AK16" s="613">
        <v>0</v>
      </c>
      <c r="AL16" s="640">
        <v>0</v>
      </c>
    </row>
    <row r="17" spans="1:38" ht="18" customHeight="1">
      <c r="A17" s="929" t="s">
        <v>275</v>
      </c>
      <c r="B17" s="641" t="s">
        <v>276</v>
      </c>
      <c r="C17" s="619">
        <v>4896</v>
      </c>
      <c r="D17" s="619">
        <v>1632</v>
      </c>
      <c r="E17" s="642">
        <v>0</v>
      </c>
      <c r="F17" s="642">
        <v>0</v>
      </c>
      <c r="G17" s="619">
        <v>5498</v>
      </c>
      <c r="H17" s="619">
        <v>1833</v>
      </c>
      <c r="I17" s="619">
        <v>21641</v>
      </c>
      <c r="J17" s="619">
        <v>7214</v>
      </c>
      <c r="K17" s="619">
        <v>42327</v>
      </c>
      <c r="L17" s="619">
        <v>14120</v>
      </c>
      <c r="M17" s="619">
        <v>37038</v>
      </c>
      <c r="N17" s="619">
        <v>12390</v>
      </c>
      <c r="O17" s="619">
        <v>24175</v>
      </c>
      <c r="P17" s="643">
        <v>8058</v>
      </c>
      <c r="Q17" s="619">
        <v>10783</v>
      </c>
      <c r="R17" s="643">
        <v>3594</v>
      </c>
      <c r="S17" s="619">
        <v>4923</v>
      </c>
      <c r="T17" s="619">
        <v>1641</v>
      </c>
      <c r="U17" s="638">
        <v>0</v>
      </c>
      <c r="V17" s="638">
        <v>0</v>
      </c>
      <c r="W17" s="638">
        <v>0</v>
      </c>
      <c r="X17" s="638">
        <v>0</v>
      </c>
      <c r="Y17" s="638">
        <v>0</v>
      </c>
      <c r="Z17" s="644">
        <v>0</v>
      </c>
      <c r="AA17" s="645">
        <v>0</v>
      </c>
      <c r="AB17" s="644">
        <v>0</v>
      </c>
      <c r="AC17" s="638">
        <v>4446</v>
      </c>
      <c r="AD17" s="639">
        <v>1482</v>
      </c>
      <c r="AE17" s="638">
        <v>3867</v>
      </c>
      <c r="AF17" s="639">
        <v>1289</v>
      </c>
      <c r="AG17" s="638">
        <v>0</v>
      </c>
      <c r="AH17" s="639">
        <v>0</v>
      </c>
      <c r="AI17" s="638">
        <v>0</v>
      </c>
      <c r="AJ17" s="639">
        <v>0</v>
      </c>
      <c r="AK17" s="638">
        <v>0</v>
      </c>
      <c r="AL17" s="640">
        <v>0</v>
      </c>
    </row>
    <row r="18" spans="1:38" ht="18" customHeight="1">
      <c r="A18" s="930"/>
      <c r="B18" s="646" t="s">
        <v>277</v>
      </c>
      <c r="C18" s="615">
        <v>0</v>
      </c>
      <c r="D18" s="615">
        <v>0</v>
      </c>
      <c r="E18" s="615">
        <v>0</v>
      </c>
      <c r="F18" s="615">
        <v>0</v>
      </c>
      <c r="G18" s="647">
        <v>0</v>
      </c>
      <c r="H18" s="647">
        <v>0</v>
      </c>
      <c r="I18" s="647">
        <v>0</v>
      </c>
      <c r="J18" s="647">
        <v>0</v>
      </c>
      <c r="K18" s="647">
        <v>0</v>
      </c>
      <c r="L18" s="647">
        <v>0</v>
      </c>
      <c r="M18" s="647">
        <v>0</v>
      </c>
      <c r="N18" s="647">
        <v>0</v>
      </c>
      <c r="O18" s="626">
        <v>133</v>
      </c>
      <c r="P18" s="648">
        <v>89</v>
      </c>
      <c r="Q18" s="626">
        <v>1131</v>
      </c>
      <c r="R18" s="648">
        <v>754</v>
      </c>
      <c r="S18" s="649" t="s">
        <v>173</v>
      </c>
      <c r="T18" s="649" t="s">
        <v>173</v>
      </c>
      <c r="U18" s="615">
        <v>0</v>
      </c>
      <c r="V18" s="615">
        <v>0</v>
      </c>
      <c r="W18" s="615">
        <v>0</v>
      </c>
      <c r="X18" s="615">
        <v>0</v>
      </c>
      <c r="Y18" s="615">
        <v>0</v>
      </c>
      <c r="Z18" s="615">
        <v>0</v>
      </c>
      <c r="AA18" s="650">
        <v>0</v>
      </c>
      <c r="AB18" s="615">
        <v>0</v>
      </c>
      <c r="AC18" s="615">
        <v>895</v>
      </c>
      <c r="AD18" s="651">
        <v>596</v>
      </c>
      <c r="AE18" s="615">
        <v>40</v>
      </c>
      <c r="AF18" s="651">
        <v>27</v>
      </c>
      <c r="AG18" s="615">
        <v>0</v>
      </c>
      <c r="AH18" s="651">
        <v>0</v>
      </c>
      <c r="AI18" s="615">
        <v>0</v>
      </c>
      <c r="AJ18" s="651">
        <v>0</v>
      </c>
      <c r="AK18" s="615">
        <v>0</v>
      </c>
      <c r="AL18" s="652">
        <v>0</v>
      </c>
    </row>
    <row r="19" spans="1:38" ht="18" customHeight="1">
      <c r="A19" s="931"/>
      <c r="B19" s="653" t="s">
        <v>3</v>
      </c>
      <c r="C19" s="629"/>
      <c r="D19" s="629"/>
      <c r="E19" s="630">
        <v>0</v>
      </c>
      <c r="F19" s="629">
        <v>0</v>
      </c>
      <c r="G19" s="654">
        <f aca="true" t="shared" si="1" ref="G19:T19">SUM(G17:G18)</f>
        <v>5498</v>
      </c>
      <c r="H19" s="654">
        <f t="shared" si="1"/>
        <v>1833</v>
      </c>
      <c r="I19" s="654">
        <f t="shared" si="1"/>
        <v>21641</v>
      </c>
      <c r="J19" s="654">
        <f t="shared" si="1"/>
        <v>7214</v>
      </c>
      <c r="K19" s="654">
        <f t="shared" si="1"/>
        <v>42327</v>
      </c>
      <c r="L19" s="654">
        <f t="shared" si="1"/>
        <v>14120</v>
      </c>
      <c r="M19" s="654">
        <f t="shared" si="1"/>
        <v>37038</v>
      </c>
      <c r="N19" s="654">
        <f t="shared" si="1"/>
        <v>12390</v>
      </c>
      <c r="O19" s="626">
        <f t="shared" si="1"/>
        <v>24308</v>
      </c>
      <c r="P19" s="630">
        <f t="shared" si="1"/>
        <v>8147</v>
      </c>
      <c r="Q19" s="626">
        <f t="shared" si="1"/>
        <v>11914</v>
      </c>
      <c r="R19" s="630">
        <f t="shared" si="1"/>
        <v>4348</v>
      </c>
      <c r="S19" s="626">
        <f t="shared" si="1"/>
        <v>4923</v>
      </c>
      <c r="T19" s="629">
        <f t="shared" si="1"/>
        <v>1641</v>
      </c>
      <c r="U19" s="638">
        <v>0</v>
      </c>
      <c r="V19" s="638">
        <v>0</v>
      </c>
      <c r="W19" s="638">
        <v>0</v>
      </c>
      <c r="X19" s="615">
        <v>0</v>
      </c>
      <c r="Y19" s="638">
        <v>0</v>
      </c>
      <c r="Z19" s="615">
        <v>0</v>
      </c>
      <c r="AA19" s="645">
        <v>0</v>
      </c>
      <c r="AB19" s="615">
        <v>0</v>
      </c>
      <c r="AC19" s="631">
        <f>SUM(AC17:AC18)</f>
        <v>5341</v>
      </c>
      <c r="AD19" s="633">
        <f>SUM(AD17:AD18)</f>
        <v>2078</v>
      </c>
      <c r="AE19" s="631">
        <f>SUM(AE17:AE18)</f>
        <v>3907</v>
      </c>
      <c r="AF19" s="633">
        <f>SUM(AF17:AF18)</f>
        <v>1316</v>
      </c>
      <c r="AG19" s="612">
        <v>0</v>
      </c>
      <c r="AH19" s="655">
        <v>0</v>
      </c>
      <c r="AI19" s="612">
        <v>0</v>
      </c>
      <c r="AJ19" s="655">
        <v>0</v>
      </c>
      <c r="AK19" s="612">
        <f>SUM(AK17:AK18)</f>
        <v>0</v>
      </c>
      <c r="AL19" s="656">
        <f>SUM(AL17:AL18)</f>
        <v>0</v>
      </c>
    </row>
    <row r="20" spans="1:38" ht="18" customHeight="1">
      <c r="A20" s="635" t="s">
        <v>278</v>
      </c>
      <c r="B20" s="636" t="s">
        <v>279</v>
      </c>
      <c r="C20" s="629">
        <v>76984</v>
      </c>
      <c r="D20" s="629">
        <v>38492</v>
      </c>
      <c r="E20" s="630">
        <v>63545</v>
      </c>
      <c r="F20" s="629">
        <v>31772</v>
      </c>
      <c r="G20" s="629">
        <v>79927</v>
      </c>
      <c r="H20" s="629">
        <v>39963</v>
      </c>
      <c r="I20" s="629">
        <v>53752</v>
      </c>
      <c r="J20" s="629">
        <v>26876</v>
      </c>
      <c r="K20" s="629">
        <v>35439</v>
      </c>
      <c r="L20" s="629">
        <v>17720</v>
      </c>
      <c r="M20" s="629">
        <v>10988</v>
      </c>
      <c r="N20" s="629">
        <v>5494</v>
      </c>
      <c r="O20" s="629">
        <v>9603</v>
      </c>
      <c r="P20" s="630">
        <v>4801</v>
      </c>
      <c r="Q20" s="629">
        <v>10022</v>
      </c>
      <c r="R20" s="630">
        <v>5011</v>
      </c>
      <c r="S20" s="629">
        <v>8833</v>
      </c>
      <c r="T20" s="629">
        <v>4416</v>
      </c>
      <c r="U20" s="629">
        <v>7823</v>
      </c>
      <c r="V20" s="629">
        <v>3912</v>
      </c>
      <c r="W20" s="631">
        <v>16570</v>
      </c>
      <c r="X20" s="632">
        <v>8285</v>
      </c>
      <c r="Y20" s="631">
        <v>14265</v>
      </c>
      <c r="Z20" s="632">
        <v>7132</v>
      </c>
      <c r="AA20" s="632">
        <v>7835</v>
      </c>
      <c r="AB20" s="632">
        <v>3917</v>
      </c>
      <c r="AC20" s="631">
        <v>4062</v>
      </c>
      <c r="AD20" s="633">
        <v>2031</v>
      </c>
      <c r="AE20" s="613">
        <v>0</v>
      </c>
      <c r="AF20" s="614">
        <v>0</v>
      </c>
      <c r="AG20" s="613">
        <v>0</v>
      </c>
      <c r="AH20" s="614">
        <v>0</v>
      </c>
      <c r="AI20" s="613">
        <v>0</v>
      </c>
      <c r="AJ20" s="614">
        <v>0</v>
      </c>
      <c r="AK20" s="613">
        <v>0</v>
      </c>
      <c r="AL20" s="657">
        <v>0</v>
      </c>
    </row>
    <row r="21" spans="1:38" ht="18" customHeight="1">
      <c r="A21" s="658" t="s">
        <v>280</v>
      </c>
      <c r="B21" s="641" t="s">
        <v>281</v>
      </c>
      <c r="C21" s="619">
        <v>23254</v>
      </c>
      <c r="D21" s="619">
        <v>11627</v>
      </c>
      <c r="E21" s="643">
        <v>21211</v>
      </c>
      <c r="F21" s="619">
        <v>10605</v>
      </c>
      <c r="G21" s="619">
        <v>34101</v>
      </c>
      <c r="H21" s="619">
        <v>17058</v>
      </c>
      <c r="I21" s="619">
        <v>46247</v>
      </c>
      <c r="J21" s="619">
        <v>23123</v>
      </c>
      <c r="K21" s="619">
        <v>71724</v>
      </c>
      <c r="L21" s="619">
        <v>40165</v>
      </c>
      <c r="M21" s="619">
        <v>80448</v>
      </c>
      <c r="N21" s="619">
        <v>48269</v>
      </c>
      <c r="O21" s="619">
        <v>51297</v>
      </c>
      <c r="P21" s="643">
        <v>30778</v>
      </c>
      <c r="Q21" s="619">
        <v>43324</v>
      </c>
      <c r="R21" s="643">
        <v>25995</v>
      </c>
      <c r="S21" s="619">
        <v>36117</v>
      </c>
      <c r="T21" s="619">
        <v>21670</v>
      </c>
      <c r="U21" s="629">
        <v>31329</v>
      </c>
      <c r="V21" s="629">
        <v>18798</v>
      </c>
      <c r="W21" s="631">
        <v>35117</v>
      </c>
      <c r="X21" s="632">
        <v>21070</v>
      </c>
      <c r="Y21" s="631">
        <v>29244</v>
      </c>
      <c r="Z21" s="632">
        <v>17546</v>
      </c>
      <c r="AA21" s="632">
        <v>34948</v>
      </c>
      <c r="AB21" s="632">
        <v>20969</v>
      </c>
      <c r="AC21" s="631">
        <v>36593</v>
      </c>
      <c r="AD21" s="633">
        <v>21956</v>
      </c>
      <c r="AE21" s="631">
        <v>30731</v>
      </c>
      <c r="AF21" s="633">
        <v>18438</v>
      </c>
      <c r="AG21" s="631">
        <v>27141</v>
      </c>
      <c r="AH21" s="633">
        <v>16285</v>
      </c>
      <c r="AI21" s="631">
        <v>26367</v>
      </c>
      <c r="AJ21" s="633">
        <v>15820</v>
      </c>
      <c r="AK21" s="629">
        <v>21968</v>
      </c>
      <c r="AL21" s="637">
        <v>13181</v>
      </c>
    </row>
    <row r="22" spans="1:38" ht="18" customHeight="1">
      <c r="A22" s="658" t="s">
        <v>282</v>
      </c>
      <c r="B22" s="641" t="s">
        <v>283</v>
      </c>
      <c r="C22" s="619"/>
      <c r="D22" s="619"/>
      <c r="E22" s="643"/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43"/>
      <c r="Q22" s="619"/>
      <c r="R22" s="643"/>
      <c r="S22" s="619"/>
      <c r="T22" s="619"/>
      <c r="U22" s="629"/>
      <c r="V22" s="629"/>
      <c r="W22" s="631"/>
      <c r="X22" s="632"/>
      <c r="Y22" s="631"/>
      <c r="Z22" s="632"/>
      <c r="AA22" s="613">
        <v>0</v>
      </c>
      <c r="AB22" s="613">
        <v>0</v>
      </c>
      <c r="AC22" s="613">
        <v>0</v>
      </c>
      <c r="AD22" s="613">
        <v>0</v>
      </c>
      <c r="AE22" s="613">
        <v>0</v>
      </c>
      <c r="AF22" s="613">
        <v>0</v>
      </c>
      <c r="AG22" s="613">
        <v>0</v>
      </c>
      <c r="AH22" s="613">
        <v>0</v>
      </c>
      <c r="AI22" s="631">
        <v>3378</v>
      </c>
      <c r="AJ22" s="633">
        <v>1689</v>
      </c>
      <c r="AK22" s="659" t="s">
        <v>173</v>
      </c>
      <c r="AL22" s="660" t="s">
        <v>173</v>
      </c>
    </row>
    <row r="23" spans="1:38" ht="18" customHeight="1" hidden="1">
      <c r="A23" s="661"/>
      <c r="B23" s="641" t="s">
        <v>284</v>
      </c>
      <c r="C23" s="662">
        <v>0</v>
      </c>
      <c r="D23" s="662">
        <v>0</v>
      </c>
      <c r="E23" s="663">
        <v>0</v>
      </c>
      <c r="F23" s="662">
        <v>0</v>
      </c>
      <c r="G23" s="619">
        <v>46895</v>
      </c>
      <c r="H23" s="619">
        <v>15632</v>
      </c>
      <c r="I23" s="619">
        <v>38030</v>
      </c>
      <c r="J23" s="619">
        <v>12677</v>
      </c>
      <c r="K23" s="619">
        <v>30802</v>
      </c>
      <c r="L23" s="619">
        <v>10267</v>
      </c>
      <c r="M23" s="619">
        <v>25463</v>
      </c>
      <c r="N23" s="619">
        <v>8488</v>
      </c>
      <c r="O23" s="644">
        <v>0</v>
      </c>
      <c r="P23" s="639">
        <v>0</v>
      </c>
      <c r="Q23" s="644">
        <v>16666</v>
      </c>
      <c r="R23" s="639">
        <v>5555</v>
      </c>
      <c r="S23" s="644">
        <v>0</v>
      </c>
      <c r="T23" s="644">
        <v>0</v>
      </c>
      <c r="U23" s="638">
        <v>0</v>
      </c>
      <c r="V23" s="638">
        <v>0</v>
      </c>
      <c r="W23" s="638">
        <v>0</v>
      </c>
      <c r="X23" s="644">
        <v>0</v>
      </c>
      <c r="Y23" s="638">
        <v>0</v>
      </c>
      <c r="Z23" s="644">
        <v>0</v>
      </c>
      <c r="AA23" s="645">
        <v>0</v>
      </c>
      <c r="AB23" s="644">
        <v>0</v>
      </c>
      <c r="AC23" s="638">
        <v>0</v>
      </c>
      <c r="AD23" s="639">
        <v>0</v>
      </c>
      <c r="AE23" s="638">
        <v>0</v>
      </c>
      <c r="AF23" s="639">
        <v>0</v>
      </c>
      <c r="AG23" s="638">
        <v>0</v>
      </c>
      <c r="AH23" s="639">
        <v>0</v>
      </c>
      <c r="AI23" s="638">
        <v>0</v>
      </c>
      <c r="AJ23" s="639">
        <v>0</v>
      </c>
      <c r="AK23" s="664"/>
      <c r="AL23" s="665"/>
    </row>
    <row r="24" spans="1:38" ht="18" customHeight="1" hidden="1">
      <c r="A24" s="932" t="s">
        <v>285</v>
      </c>
      <c r="B24" s="666" t="s">
        <v>286</v>
      </c>
      <c r="C24" s="606">
        <v>0</v>
      </c>
      <c r="D24" s="606">
        <v>0</v>
      </c>
      <c r="E24" s="607">
        <v>0</v>
      </c>
      <c r="F24" s="606">
        <v>0</v>
      </c>
      <c r="G24" s="667">
        <v>794</v>
      </c>
      <c r="H24" s="667">
        <v>132</v>
      </c>
      <c r="I24" s="667">
        <v>690</v>
      </c>
      <c r="J24" s="667">
        <v>115</v>
      </c>
      <c r="K24" s="667">
        <v>633</v>
      </c>
      <c r="L24" s="667">
        <v>106</v>
      </c>
      <c r="M24" s="667">
        <v>583</v>
      </c>
      <c r="N24" s="667">
        <v>97</v>
      </c>
      <c r="O24" s="638">
        <v>0</v>
      </c>
      <c r="P24" s="668">
        <v>0</v>
      </c>
      <c r="Q24" s="638">
        <v>503</v>
      </c>
      <c r="R24" s="668">
        <v>84</v>
      </c>
      <c r="S24" s="638">
        <v>0</v>
      </c>
      <c r="T24" s="638">
        <v>0</v>
      </c>
      <c r="U24" s="638">
        <v>0</v>
      </c>
      <c r="V24" s="638">
        <v>0</v>
      </c>
      <c r="W24" s="638">
        <v>0</v>
      </c>
      <c r="X24" s="638">
        <v>0</v>
      </c>
      <c r="Y24" s="638">
        <v>0</v>
      </c>
      <c r="Z24" s="638">
        <v>0</v>
      </c>
      <c r="AA24" s="645">
        <v>0</v>
      </c>
      <c r="AB24" s="638">
        <v>0</v>
      </c>
      <c r="AC24" s="638">
        <v>0</v>
      </c>
      <c r="AD24" s="668">
        <v>0</v>
      </c>
      <c r="AE24" s="638">
        <v>0</v>
      </c>
      <c r="AF24" s="668">
        <v>0</v>
      </c>
      <c r="AG24" s="638">
        <v>0</v>
      </c>
      <c r="AH24" s="668">
        <v>0</v>
      </c>
      <c r="AI24" s="638">
        <v>0</v>
      </c>
      <c r="AJ24" s="668">
        <v>0</v>
      </c>
      <c r="AK24" s="664"/>
      <c r="AL24" s="669"/>
    </row>
    <row r="25" spans="1:38" ht="18" customHeight="1" hidden="1">
      <c r="A25" s="932"/>
      <c r="B25" s="666" t="s">
        <v>287</v>
      </c>
      <c r="C25" s="606">
        <v>0</v>
      </c>
      <c r="D25" s="606">
        <v>0</v>
      </c>
      <c r="E25" s="607">
        <v>0</v>
      </c>
      <c r="F25" s="606">
        <v>0</v>
      </c>
      <c r="G25" s="606">
        <v>0</v>
      </c>
      <c r="H25" s="606">
        <v>0</v>
      </c>
      <c r="I25" s="626">
        <v>377</v>
      </c>
      <c r="J25" s="626">
        <v>188</v>
      </c>
      <c r="K25" s="626">
        <v>977</v>
      </c>
      <c r="L25" s="626">
        <v>488</v>
      </c>
      <c r="M25" s="626">
        <v>2752</v>
      </c>
      <c r="N25" s="626">
        <v>1376</v>
      </c>
      <c r="O25" s="638">
        <v>0</v>
      </c>
      <c r="P25" s="668">
        <v>0</v>
      </c>
      <c r="Q25" s="638">
        <v>1426</v>
      </c>
      <c r="R25" s="668">
        <v>713</v>
      </c>
      <c r="S25" s="638">
        <v>0</v>
      </c>
      <c r="T25" s="638">
        <v>0</v>
      </c>
      <c r="U25" s="638">
        <v>0</v>
      </c>
      <c r="V25" s="638">
        <v>0</v>
      </c>
      <c r="W25" s="615">
        <v>0</v>
      </c>
      <c r="X25" s="615">
        <v>0</v>
      </c>
      <c r="Y25" s="615">
        <v>0</v>
      </c>
      <c r="Z25" s="615">
        <v>0</v>
      </c>
      <c r="AA25" s="650">
        <v>0</v>
      </c>
      <c r="AB25" s="615">
        <v>0</v>
      </c>
      <c r="AC25" s="615">
        <v>0</v>
      </c>
      <c r="AD25" s="651">
        <v>0</v>
      </c>
      <c r="AE25" s="615">
        <v>0</v>
      </c>
      <c r="AF25" s="651">
        <v>0</v>
      </c>
      <c r="AG25" s="615">
        <v>0</v>
      </c>
      <c r="AH25" s="651">
        <v>0</v>
      </c>
      <c r="AI25" s="615">
        <v>0</v>
      </c>
      <c r="AJ25" s="651">
        <v>0</v>
      </c>
      <c r="AK25" s="670"/>
      <c r="AL25" s="671"/>
    </row>
    <row r="26" spans="1:38" ht="18" customHeight="1" hidden="1">
      <c r="A26" s="672"/>
      <c r="B26" s="586" t="s">
        <v>3</v>
      </c>
      <c r="C26" s="673">
        <v>0</v>
      </c>
      <c r="D26" s="673">
        <v>0</v>
      </c>
      <c r="E26" s="674">
        <v>0</v>
      </c>
      <c r="F26" s="673">
        <v>0</v>
      </c>
      <c r="G26" s="629">
        <f>SUM(G23:G24)</f>
        <v>47689</v>
      </c>
      <c r="H26" s="629">
        <f>SUM(H23:H24)</f>
        <v>15764</v>
      </c>
      <c r="I26" s="629">
        <f aca="true" t="shared" si="2" ref="I26:T26">SUM(I23:I25)</f>
        <v>39097</v>
      </c>
      <c r="J26" s="629">
        <f t="shared" si="2"/>
        <v>12980</v>
      </c>
      <c r="K26" s="629">
        <f t="shared" si="2"/>
        <v>32412</v>
      </c>
      <c r="L26" s="629">
        <f t="shared" si="2"/>
        <v>10861</v>
      </c>
      <c r="M26" s="629">
        <f t="shared" si="2"/>
        <v>28798</v>
      </c>
      <c r="N26" s="629">
        <f t="shared" si="2"/>
        <v>9961</v>
      </c>
      <c r="O26" s="613">
        <f t="shared" si="2"/>
        <v>0</v>
      </c>
      <c r="P26" s="614">
        <f t="shared" si="2"/>
        <v>0</v>
      </c>
      <c r="Q26" s="613">
        <f t="shared" si="2"/>
        <v>18595</v>
      </c>
      <c r="R26" s="614">
        <f t="shared" si="2"/>
        <v>6352</v>
      </c>
      <c r="S26" s="613">
        <f t="shared" si="2"/>
        <v>0</v>
      </c>
      <c r="T26" s="613">
        <f t="shared" si="2"/>
        <v>0</v>
      </c>
      <c r="U26" s="613">
        <v>0</v>
      </c>
      <c r="V26" s="613">
        <v>0</v>
      </c>
      <c r="W26" s="613">
        <v>0</v>
      </c>
      <c r="X26" s="613">
        <v>0</v>
      </c>
      <c r="Y26" s="613">
        <v>0</v>
      </c>
      <c r="Z26" s="613">
        <v>0</v>
      </c>
      <c r="AA26" s="675">
        <v>0</v>
      </c>
      <c r="AB26" s="613">
        <v>0</v>
      </c>
      <c r="AC26" s="613">
        <v>0</v>
      </c>
      <c r="AD26" s="614">
        <v>0</v>
      </c>
      <c r="AE26" s="613">
        <v>0</v>
      </c>
      <c r="AF26" s="614">
        <v>0</v>
      </c>
      <c r="AG26" s="613">
        <v>0</v>
      </c>
      <c r="AH26" s="614">
        <v>0</v>
      </c>
      <c r="AI26" s="613">
        <v>0</v>
      </c>
      <c r="AJ26" s="614">
        <v>0</v>
      </c>
      <c r="AK26" s="676"/>
      <c r="AL26" s="677"/>
    </row>
    <row r="27" spans="1:38" ht="18" customHeight="1">
      <c r="A27" s="658" t="s">
        <v>288</v>
      </c>
      <c r="B27" s="678"/>
      <c r="C27" s="622"/>
      <c r="D27" s="622"/>
      <c r="E27" s="679"/>
      <c r="F27" s="622"/>
      <c r="G27" s="622"/>
      <c r="H27" s="622"/>
      <c r="I27" s="622"/>
      <c r="J27" s="622"/>
      <c r="K27" s="667"/>
      <c r="L27" s="667"/>
      <c r="M27" s="667"/>
      <c r="N27" s="667"/>
      <c r="O27" s="667"/>
      <c r="P27" s="680"/>
      <c r="Q27" s="667"/>
      <c r="R27" s="680"/>
      <c r="S27" s="667"/>
      <c r="T27" s="667"/>
      <c r="U27" s="667"/>
      <c r="V27" s="667"/>
      <c r="W27" s="622"/>
      <c r="X27" s="681"/>
      <c r="Y27" s="622"/>
      <c r="Z27" s="681"/>
      <c r="AA27" s="681"/>
      <c r="AB27" s="681"/>
      <c r="AC27" s="622"/>
      <c r="AD27" s="682"/>
      <c r="AE27" s="622"/>
      <c r="AF27" s="682"/>
      <c r="AG27" s="622"/>
      <c r="AH27" s="682"/>
      <c r="AI27" s="622"/>
      <c r="AJ27" s="683"/>
      <c r="AK27" s="667"/>
      <c r="AL27" s="684"/>
    </row>
    <row r="28" spans="1:38" s="580" customFormat="1" ht="18" customHeight="1">
      <c r="A28" s="685" t="s">
        <v>289</v>
      </c>
      <c r="B28" s="666" t="s">
        <v>290</v>
      </c>
      <c r="C28" s="680">
        <v>101290</v>
      </c>
      <c r="D28" s="667">
        <v>16882</v>
      </c>
      <c r="E28" s="680">
        <v>137057</v>
      </c>
      <c r="F28" s="667">
        <v>22842</v>
      </c>
      <c r="G28" s="667">
        <v>122867</v>
      </c>
      <c r="H28" s="667">
        <v>20478</v>
      </c>
      <c r="I28" s="667">
        <v>293210</v>
      </c>
      <c r="J28" s="667">
        <v>48868</v>
      </c>
      <c r="K28" s="667">
        <v>319808</v>
      </c>
      <c r="L28" s="667">
        <v>53300</v>
      </c>
      <c r="M28" s="667">
        <v>227028</v>
      </c>
      <c r="N28" s="667">
        <v>37838</v>
      </c>
      <c r="O28" s="667">
        <v>892333</v>
      </c>
      <c r="P28" s="680">
        <v>148722</v>
      </c>
      <c r="Q28" s="667">
        <v>655596</v>
      </c>
      <c r="R28" s="680">
        <v>109266</v>
      </c>
      <c r="S28" s="667">
        <v>495647</v>
      </c>
      <c r="T28" s="667">
        <v>82608</v>
      </c>
      <c r="U28" s="667">
        <v>383520</v>
      </c>
      <c r="V28" s="667">
        <v>63920</v>
      </c>
      <c r="W28" s="667">
        <v>310328</v>
      </c>
      <c r="X28" s="686">
        <v>51721</v>
      </c>
      <c r="Y28" s="667">
        <v>255050</v>
      </c>
      <c r="Z28" s="686">
        <v>42508</v>
      </c>
      <c r="AA28" s="686">
        <v>224841</v>
      </c>
      <c r="AB28" s="686">
        <v>37322</v>
      </c>
      <c r="AC28" s="667">
        <v>207697</v>
      </c>
      <c r="AD28" s="687">
        <v>34616</v>
      </c>
      <c r="AE28" s="667">
        <v>196044</v>
      </c>
      <c r="AF28" s="687">
        <v>32674</v>
      </c>
      <c r="AG28" s="667">
        <v>185731</v>
      </c>
      <c r="AH28" s="687">
        <v>30955</v>
      </c>
      <c r="AI28" s="667">
        <v>173458</v>
      </c>
      <c r="AJ28" s="680">
        <v>28910</v>
      </c>
      <c r="AK28" s="667">
        <v>162834</v>
      </c>
      <c r="AL28" s="688">
        <v>27208</v>
      </c>
    </row>
    <row r="29" spans="1:38" s="580" customFormat="1" ht="18" customHeight="1">
      <c r="A29" s="685"/>
      <c r="B29" s="666" t="s">
        <v>291</v>
      </c>
      <c r="C29" s="667"/>
      <c r="D29" s="667"/>
      <c r="E29" s="680"/>
      <c r="F29" s="667"/>
      <c r="G29" s="667"/>
      <c r="H29" s="667"/>
      <c r="I29" s="667"/>
      <c r="J29" s="667"/>
      <c r="K29" s="638">
        <v>0</v>
      </c>
      <c r="L29" s="638">
        <v>0</v>
      </c>
      <c r="M29" s="638">
        <v>0</v>
      </c>
      <c r="N29" s="638">
        <v>0</v>
      </c>
      <c r="O29" s="638">
        <v>0</v>
      </c>
      <c r="P29" s="638">
        <v>0</v>
      </c>
      <c r="Q29" s="667">
        <v>1461</v>
      </c>
      <c r="R29" s="680">
        <v>487</v>
      </c>
      <c r="S29" s="667">
        <v>5744</v>
      </c>
      <c r="T29" s="667">
        <v>1915</v>
      </c>
      <c r="U29" s="667">
        <v>35576</v>
      </c>
      <c r="V29" s="667">
        <v>11859</v>
      </c>
      <c r="W29" s="667">
        <v>27567</v>
      </c>
      <c r="X29" s="686">
        <v>9189</v>
      </c>
      <c r="Y29" s="667">
        <v>32017</v>
      </c>
      <c r="Z29" s="686">
        <v>10672</v>
      </c>
      <c r="AA29" s="686">
        <v>28866</v>
      </c>
      <c r="AB29" s="686">
        <v>9622</v>
      </c>
      <c r="AC29" s="667">
        <v>19524</v>
      </c>
      <c r="AD29" s="687">
        <v>6508</v>
      </c>
      <c r="AE29" s="667">
        <v>12196</v>
      </c>
      <c r="AF29" s="687">
        <v>4065</v>
      </c>
      <c r="AG29" s="667">
        <v>6124</v>
      </c>
      <c r="AH29" s="687">
        <v>2041</v>
      </c>
      <c r="AI29" s="667">
        <v>5523</v>
      </c>
      <c r="AJ29" s="680">
        <v>1841</v>
      </c>
      <c r="AK29" s="667">
        <v>5260</v>
      </c>
      <c r="AL29" s="688">
        <v>1753</v>
      </c>
    </row>
    <row r="30" spans="1:38" s="580" customFormat="1" ht="18" customHeight="1">
      <c r="A30" s="685"/>
      <c r="B30" s="689" t="s">
        <v>292</v>
      </c>
      <c r="C30" s="667"/>
      <c r="D30" s="667"/>
      <c r="E30" s="680"/>
      <c r="F30" s="667"/>
      <c r="G30" s="667"/>
      <c r="H30" s="667"/>
      <c r="I30" s="667"/>
      <c r="J30" s="667"/>
      <c r="K30" s="638">
        <v>0</v>
      </c>
      <c r="L30" s="638">
        <v>0</v>
      </c>
      <c r="M30" s="638">
        <v>0</v>
      </c>
      <c r="N30" s="638">
        <v>0</v>
      </c>
      <c r="O30" s="638">
        <v>0</v>
      </c>
      <c r="P30" s="638">
        <v>0</v>
      </c>
      <c r="Q30" s="638">
        <v>0</v>
      </c>
      <c r="R30" s="638">
        <v>0</v>
      </c>
      <c r="S30" s="638">
        <v>0</v>
      </c>
      <c r="T30" s="638">
        <v>0</v>
      </c>
      <c r="U30" s="638">
        <v>0</v>
      </c>
      <c r="V30" s="638">
        <v>0</v>
      </c>
      <c r="W30" s="638">
        <v>0</v>
      </c>
      <c r="X30" s="638">
        <v>0</v>
      </c>
      <c r="Y30" s="667">
        <v>1095</v>
      </c>
      <c r="Z30" s="686">
        <v>365</v>
      </c>
      <c r="AA30" s="686">
        <v>980</v>
      </c>
      <c r="AB30" s="686">
        <v>327</v>
      </c>
      <c r="AC30" s="667">
        <v>852</v>
      </c>
      <c r="AD30" s="687">
        <v>284</v>
      </c>
      <c r="AE30" s="667">
        <v>3158</v>
      </c>
      <c r="AF30" s="687">
        <v>1053</v>
      </c>
      <c r="AG30" s="667">
        <v>104476</v>
      </c>
      <c r="AH30" s="687">
        <v>50922</v>
      </c>
      <c r="AI30" s="667">
        <v>113576</v>
      </c>
      <c r="AJ30" s="680">
        <v>56788</v>
      </c>
      <c r="AK30" s="667">
        <v>130242</v>
      </c>
      <c r="AL30" s="688">
        <v>65121</v>
      </c>
    </row>
    <row r="31" spans="1:38" s="580" customFormat="1" ht="17.25" customHeight="1" hidden="1">
      <c r="A31" s="685" t="s">
        <v>293</v>
      </c>
      <c r="B31" s="666" t="s">
        <v>294</v>
      </c>
      <c r="C31" s="606"/>
      <c r="D31" s="606"/>
      <c r="E31" s="607">
        <v>0</v>
      </c>
      <c r="F31" s="606">
        <v>0</v>
      </c>
      <c r="G31" s="606">
        <v>0</v>
      </c>
      <c r="H31" s="606">
        <v>0</v>
      </c>
      <c r="I31" s="607">
        <v>0</v>
      </c>
      <c r="J31" s="606">
        <v>0</v>
      </c>
      <c r="K31" s="638">
        <v>0</v>
      </c>
      <c r="L31" s="638">
        <v>0</v>
      </c>
      <c r="M31" s="638">
        <v>389</v>
      </c>
      <c r="N31" s="638">
        <v>259</v>
      </c>
      <c r="O31" s="638">
        <v>0</v>
      </c>
      <c r="P31" s="668">
        <v>0</v>
      </c>
      <c r="Q31" s="638">
        <v>0</v>
      </c>
      <c r="R31" s="668">
        <v>0</v>
      </c>
      <c r="S31" s="638">
        <v>0</v>
      </c>
      <c r="T31" s="638">
        <v>0</v>
      </c>
      <c r="U31" s="638">
        <v>0</v>
      </c>
      <c r="V31" s="638">
        <v>0</v>
      </c>
      <c r="W31" s="638">
        <v>0</v>
      </c>
      <c r="X31" s="638">
        <v>0</v>
      </c>
      <c r="Y31" s="638">
        <v>0</v>
      </c>
      <c r="Z31" s="638">
        <v>0</v>
      </c>
      <c r="AA31" s="645">
        <v>0</v>
      </c>
      <c r="AB31" s="638">
        <v>0</v>
      </c>
      <c r="AC31" s="638">
        <v>0</v>
      </c>
      <c r="AD31" s="668">
        <v>0</v>
      </c>
      <c r="AE31" s="638">
        <v>0</v>
      </c>
      <c r="AF31" s="668">
        <v>0</v>
      </c>
      <c r="AG31" s="638"/>
      <c r="AH31" s="668"/>
      <c r="AI31" s="638"/>
      <c r="AJ31" s="668"/>
      <c r="AK31" s="638"/>
      <c r="AL31" s="690"/>
    </row>
    <row r="32" spans="1:38" s="580" customFormat="1" ht="17.25" customHeight="1">
      <c r="A32" s="685" t="s">
        <v>295</v>
      </c>
      <c r="B32" s="666" t="s">
        <v>225</v>
      </c>
      <c r="C32" s="606"/>
      <c r="D32" s="606"/>
      <c r="E32" s="607">
        <v>0</v>
      </c>
      <c r="F32" s="606">
        <v>0</v>
      </c>
      <c r="G32" s="606">
        <v>0</v>
      </c>
      <c r="H32" s="606">
        <v>0</v>
      </c>
      <c r="I32" s="607">
        <v>0</v>
      </c>
      <c r="J32" s="606">
        <v>0</v>
      </c>
      <c r="K32" s="638">
        <v>0</v>
      </c>
      <c r="L32" s="638">
        <v>0</v>
      </c>
      <c r="M32" s="638">
        <v>0</v>
      </c>
      <c r="N32" s="638">
        <v>0</v>
      </c>
      <c r="O32" s="638">
        <v>0</v>
      </c>
      <c r="P32" s="668">
        <v>0</v>
      </c>
      <c r="Q32" s="638">
        <v>0</v>
      </c>
      <c r="R32" s="668">
        <v>0</v>
      </c>
      <c r="S32" s="638">
        <v>0</v>
      </c>
      <c r="T32" s="638">
        <v>0</v>
      </c>
      <c r="U32" s="638">
        <v>0</v>
      </c>
      <c r="V32" s="638">
        <v>0</v>
      </c>
      <c r="W32" s="638">
        <v>0</v>
      </c>
      <c r="X32" s="638">
        <v>0</v>
      </c>
      <c r="Y32" s="638">
        <v>0</v>
      </c>
      <c r="Z32" s="638">
        <v>0</v>
      </c>
      <c r="AA32" s="645">
        <v>0</v>
      </c>
      <c r="AB32" s="638">
        <v>0</v>
      </c>
      <c r="AC32" s="638">
        <v>0</v>
      </c>
      <c r="AD32" s="668">
        <v>0</v>
      </c>
      <c r="AE32" s="638">
        <v>21205</v>
      </c>
      <c r="AF32" s="668">
        <v>10602</v>
      </c>
      <c r="AG32" s="638">
        <v>124779</v>
      </c>
      <c r="AH32" s="668">
        <v>62390</v>
      </c>
      <c r="AI32" s="638">
        <v>146700</v>
      </c>
      <c r="AJ32" s="668">
        <v>73350</v>
      </c>
      <c r="AK32" s="638">
        <v>118504</v>
      </c>
      <c r="AL32" s="690">
        <v>59252</v>
      </c>
    </row>
    <row r="33" spans="1:38" s="580" customFormat="1" ht="17.25" customHeight="1" hidden="1">
      <c r="A33" s="685" t="s">
        <v>296</v>
      </c>
      <c r="B33" s="666" t="s">
        <v>297</v>
      </c>
      <c r="C33" s="606"/>
      <c r="D33" s="606"/>
      <c r="E33" s="607"/>
      <c r="F33" s="606"/>
      <c r="G33" s="606"/>
      <c r="H33" s="606"/>
      <c r="I33" s="607"/>
      <c r="J33" s="606"/>
      <c r="K33" s="638"/>
      <c r="L33" s="638"/>
      <c r="M33" s="638"/>
      <c r="N33" s="638"/>
      <c r="O33" s="638"/>
      <c r="P33" s="668"/>
      <c r="Q33" s="638"/>
      <c r="R33" s="668"/>
      <c r="S33" s="638"/>
      <c r="T33" s="638"/>
      <c r="U33" s="638"/>
      <c r="V33" s="638"/>
      <c r="W33" s="638"/>
      <c r="X33" s="645"/>
      <c r="Y33" s="638">
        <v>0</v>
      </c>
      <c r="Z33" s="645">
        <v>0</v>
      </c>
      <c r="AA33" s="645">
        <v>0</v>
      </c>
      <c r="AB33" s="638">
        <v>0</v>
      </c>
      <c r="AC33" s="638">
        <v>0</v>
      </c>
      <c r="AD33" s="691">
        <v>0</v>
      </c>
      <c r="AE33" s="638">
        <v>0</v>
      </c>
      <c r="AF33" s="691">
        <v>0</v>
      </c>
      <c r="AG33" s="638">
        <v>624950</v>
      </c>
      <c r="AH33" s="691">
        <v>0</v>
      </c>
      <c r="AI33" s="638">
        <v>2267427</v>
      </c>
      <c r="AJ33" s="668">
        <v>0</v>
      </c>
      <c r="AK33" s="692" t="s">
        <v>173</v>
      </c>
      <c r="AL33" s="693" t="s">
        <v>173</v>
      </c>
    </row>
    <row r="34" spans="1:38" ht="18" customHeight="1">
      <c r="A34" s="685" t="s">
        <v>288</v>
      </c>
      <c r="B34" s="595"/>
      <c r="C34" s="622"/>
      <c r="D34" s="622"/>
      <c r="E34" s="679"/>
      <c r="F34" s="622"/>
      <c r="G34" s="694"/>
      <c r="H34" s="694"/>
      <c r="I34" s="694"/>
      <c r="J34" s="694"/>
      <c r="K34" s="638"/>
      <c r="L34" s="638"/>
      <c r="M34" s="638"/>
      <c r="N34" s="638"/>
      <c r="O34" s="638"/>
      <c r="P34" s="668"/>
      <c r="Q34" s="638"/>
      <c r="R34" s="668"/>
      <c r="S34" s="638"/>
      <c r="T34" s="638"/>
      <c r="U34" s="638"/>
      <c r="V34" s="638"/>
      <c r="W34" s="622"/>
      <c r="X34" s="681"/>
      <c r="Y34" s="622"/>
      <c r="Z34" s="681"/>
      <c r="AA34" s="681"/>
      <c r="AB34" s="622"/>
      <c r="AC34" s="622"/>
      <c r="AD34" s="682"/>
      <c r="AE34" s="622"/>
      <c r="AF34" s="682"/>
      <c r="AG34" s="622"/>
      <c r="AH34" s="682"/>
      <c r="AI34" s="622"/>
      <c r="AJ34" s="679"/>
      <c r="AK34" s="667"/>
      <c r="AL34" s="688"/>
    </row>
    <row r="35" spans="1:38" ht="18" customHeight="1" hidden="1">
      <c r="A35" s="685" t="s">
        <v>298</v>
      </c>
      <c r="B35" s="595" t="s">
        <v>299</v>
      </c>
      <c r="C35" s="622">
        <v>18794</v>
      </c>
      <c r="D35" s="622">
        <v>12530</v>
      </c>
      <c r="E35" s="679">
        <v>4914</v>
      </c>
      <c r="F35" s="622">
        <v>3276</v>
      </c>
      <c r="G35" s="694">
        <v>0</v>
      </c>
      <c r="H35" s="694">
        <v>0</v>
      </c>
      <c r="I35" s="694">
        <v>0</v>
      </c>
      <c r="J35" s="694">
        <v>0</v>
      </c>
      <c r="K35" s="638">
        <v>0</v>
      </c>
      <c r="L35" s="638">
        <v>0</v>
      </c>
      <c r="M35" s="638">
        <v>0</v>
      </c>
      <c r="N35" s="638">
        <v>0</v>
      </c>
      <c r="O35" s="638">
        <v>0</v>
      </c>
      <c r="P35" s="668">
        <v>0</v>
      </c>
      <c r="Q35" s="638">
        <v>0</v>
      </c>
      <c r="R35" s="668">
        <v>0</v>
      </c>
      <c r="S35" s="638">
        <v>0</v>
      </c>
      <c r="T35" s="638">
        <v>0</v>
      </c>
      <c r="U35" s="638"/>
      <c r="V35" s="638"/>
      <c r="W35" s="622"/>
      <c r="X35" s="681"/>
      <c r="Y35" s="622"/>
      <c r="Z35" s="681"/>
      <c r="AA35" s="681"/>
      <c r="AB35" s="681"/>
      <c r="AC35" s="622"/>
      <c r="AD35" s="682"/>
      <c r="AE35" s="622"/>
      <c r="AF35" s="682"/>
      <c r="AG35" s="622"/>
      <c r="AH35" s="682"/>
      <c r="AI35" s="622"/>
      <c r="AJ35" s="679"/>
      <c r="AK35" s="667"/>
      <c r="AL35" s="688"/>
    </row>
    <row r="36" spans="1:38" ht="18" customHeight="1" hidden="1">
      <c r="A36" s="685" t="s">
        <v>300</v>
      </c>
      <c r="B36" s="595" t="s">
        <v>301</v>
      </c>
      <c r="C36" s="622"/>
      <c r="D36" s="622"/>
      <c r="E36" s="679"/>
      <c r="F36" s="622"/>
      <c r="G36" s="694">
        <v>0</v>
      </c>
      <c r="H36" s="694">
        <v>0</v>
      </c>
      <c r="I36" s="694">
        <v>0</v>
      </c>
      <c r="J36" s="694">
        <v>0</v>
      </c>
      <c r="K36" s="638">
        <v>0</v>
      </c>
      <c r="L36" s="638">
        <v>0</v>
      </c>
      <c r="M36" s="638">
        <v>0</v>
      </c>
      <c r="N36" s="638">
        <v>0</v>
      </c>
      <c r="O36" s="638">
        <v>61841</v>
      </c>
      <c r="P36" s="668">
        <v>20614</v>
      </c>
      <c r="Q36" s="638">
        <v>42088</v>
      </c>
      <c r="R36" s="668">
        <v>14029</v>
      </c>
      <c r="S36" s="638">
        <v>28645</v>
      </c>
      <c r="T36" s="638">
        <v>9548</v>
      </c>
      <c r="U36" s="638">
        <v>0</v>
      </c>
      <c r="V36" s="638">
        <v>0</v>
      </c>
      <c r="W36" s="638">
        <v>0</v>
      </c>
      <c r="X36" s="638">
        <v>0</v>
      </c>
      <c r="Y36" s="638">
        <v>0</v>
      </c>
      <c r="Z36" s="638">
        <v>0</v>
      </c>
      <c r="AA36" s="645">
        <v>0</v>
      </c>
      <c r="AB36" s="638">
        <v>0</v>
      </c>
      <c r="AC36" s="638">
        <v>0</v>
      </c>
      <c r="AD36" s="668">
        <v>0</v>
      </c>
      <c r="AE36" s="638">
        <v>0</v>
      </c>
      <c r="AF36" s="668">
        <v>0</v>
      </c>
      <c r="AG36" s="638">
        <v>0</v>
      </c>
      <c r="AH36" s="668">
        <v>0</v>
      </c>
      <c r="AI36" s="638">
        <v>0</v>
      </c>
      <c r="AJ36" s="668">
        <v>0</v>
      </c>
      <c r="AK36" s="638"/>
      <c r="AL36" s="690"/>
    </row>
    <row r="37" spans="1:38" ht="18" customHeight="1">
      <c r="A37" s="685" t="s">
        <v>302</v>
      </c>
      <c r="B37" s="595" t="s">
        <v>303</v>
      </c>
      <c r="C37" s="622"/>
      <c r="D37" s="622"/>
      <c r="E37" s="679"/>
      <c r="F37" s="622"/>
      <c r="G37" s="694"/>
      <c r="H37" s="694"/>
      <c r="I37" s="694"/>
      <c r="J37" s="694"/>
      <c r="K37" s="638"/>
      <c r="L37" s="638"/>
      <c r="M37" s="638"/>
      <c r="N37" s="638"/>
      <c r="O37" s="638"/>
      <c r="P37" s="668"/>
      <c r="Q37" s="638"/>
      <c r="R37" s="668"/>
      <c r="S37" s="638"/>
      <c r="T37" s="638"/>
      <c r="U37" s="638"/>
      <c r="V37" s="638"/>
      <c r="W37" s="638"/>
      <c r="X37" s="638"/>
      <c r="Y37" s="638"/>
      <c r="Z37" s="638"/>
      <c r="AA37" s="638">
        <v>0</v>
      </c>
      <c r="AB37" s="638">
        <v>0</v>
      </c>
      <c r="AC37" s="638">
        <v>0</v>
      </c>
      <c r="AD37" s="638">
        <v>0</v>
      </c>
      <c r="AE37" s="638">
        <v>0</v>
      </c>
      <c r="AF37" s="638">
        <v>0</v>
      </c>
      <c r="AG37" s="638">
        <v>0</v>
      </c>
      <c r="AH37" s="638">
        <v>0</v>
      </c>
      <c r="AI37" s="638">
        <v>4862</v>
      </c>
      <c r="AJ37" s="668">
        <v>1621</v>
      </c>
      <c r="AK37" s="638">
        <v>2896</v>
      </c>
      <c r="AL37" s="690">
        <v>965</v>
      </c>
    </row>
    <row r="38" spans="1:38" ht="18" customHeight="1">
      <c r="A38" s="685" t="s">
        <v>304</v>
      </c>
      <c r="B38" s="595" t="s">
        <v>305</v>
      </c>
      <c r="C38" s="622">
        <v>0</v>
      </c>
      <c r="D38" s="622">
        <v>0</v>
      </c>
      <c r="E38" s="679">
        <v>125020</v>
      </c>
      <c r="F38" s="622">
        <v>93765</v>
      </c>
      <c r="G38" s="694">
        <v>297406</v>
      </c>
      <c r="H38" s="694">
        <v>223064</v>
      </c>
      <c r="I38" s="694">
        <v>264041</v>
      </c>
      <c r="J38" s="694">
        <v>198958</v>
      </c>
      <c r="K38" s="638">
        <v>259715</v>
      </c>
      <c r="L38" s="638">
        <v>194786</v>
      </c>
      <c r="M38" s="638">
        <v>875121</v>
      </c>
      <c r="N38" s="638">
        <v>656341</v>
      </c>
      <c r="O38" s="638">
        <v>607457</v>
      </c>
      <c r="P38" s="668">
        <v>455593</v>
      </c>
      <c r="Q38" s="638">
        <v>434827</v>
      </c>
      <c r="R38" s="668">
        <v>326120</v>
      </c>
      <c r="S38" s="638">
        <v>312105</v>
      </c>
      <c r="T38" s="638">
        <v>234079</v>
      </c>
      <c r="U38" s="638">
        <v>64682</v>
      </c>
      <c r="V38" s="638">
        <v>48512</v>
      </c>
      <c r="W38" s="638">
        <v>43467</v>
      </c>
      <c r="X38" s="638">
        <v>32600</v>
      </c>
      <c r="Y38" s="638">
        <v>35794</v>
      </c>
      <c r="Z38" s="638">
        <v>26846</v>
      </c>
      <c r="AA38" s="645">
        <v>1174</v>
      </c>
      <c r="AB38" s="638">
        <v>881</v>
      </c>
      <c r="AC38" s="638">
        <v>0</v>
      </c>
      <c r="AD38" s="668">
        <v>0</v>
      </c>
      <c r="AE38" s="638">
        <v>0</v>
      </c>
      <c r="AF38" s="668">
        <v>0</v>
      </c>
      <c r="AG38" s="638">
        <v>0</v>
      </c>
      <c r="AH38" s="668">
        <v>0</v>
      </c>
      <c r="AI38" s="638">
        <v>0</v>
      </c>
      <c r="AJ38" s="668">
        <v>0</v>
      </c>
      <c r="AK38" s="638">
        <v>0</v>
      </c>
      <c r="AL38" s="690">
        <v>0</v>
      </c>
    </row>
    <row r="39" spans="1:38" ht="18" customHeight="1">
      <c r="A39" s="685"/>
      <c r="B39" s="595" t="s">
        <v>306</v>
      </c>
      <c r="C39" s="622"/>
      <c r="D39" s="622"/>
      <c r="E39" s="679"/>
      <c r="F39" s="622"/>
      <c r="G39" s="694"/>
      <c r="H39" s="694"/>
      <c r="I39" s="694"/>
      <c r="J39" s="694"/>
      <c r="K39" s="638"/>
      <c r="L39" s="638"/>
      <c r="M39" s="638">
        <v>0</v>
      </c>
      <c r="N39" s="638">
        <v>0</v>
      </c>
      <c r="O39" s="638">
        <v>0</v>
      </c>
      <c r="P39" s="668">
        <v>0</v>
      </c>
      <c r="Q39" s="638">
        <v>0</v>
      </c>
      <c r="R39" s="668">
        <v>0</v>
      </c>
      <c r="S39" s="638">
        <v>0</v>
      </c>
      <c r="T39" s="638">
        <v>0</v>
      </c>
      <c r="U39" s="638">
        <v>11042</v>
      </c>
      <c r="V39" s="638">
        <v>8833</v>
      </c>
      <c r="W39" s="638">
        <v>5547</v>
      </c>
      <c r="X39" s="638">
        <v>4438</v>
      </c>
      <c r="Y39" s="638">
        <v>3504</v>
      </c>
      <c r="Z39" s="638">
        <v>2803</v>
      </c>
      <c r="AA39" s="645">
        <v>2386</v>
      </c>
      <c r="AB39" s="638">
        <v>1909</v>
      </c>
      <c r="AC39" s="638">
        <v>1625</v>
      </c>
      <c r="AD39" s="668">
        <v>1300</v>
      </c>
      <c r="AE39" s="638">
        <v>0</v>
      </c>
      <c r="AF39" s="668">
        <v>0</v>
      </c>
      <c r="AG39" s="638">
        <v>0</v>
      </c>
      <c r="AH39" s="668">
        <v>0</v>
      </c>
      <c r="AI39" s="638">
        <v>0</v>
      </c>
      <c r="AJ39" s="668">
        <v>0</v>
      </c>
      <c r="AK39" s="638">
        <v>0</v>
      </c>
      <c r="AL39" s="690">
        <v>0</v>
      </c>
    </row>
    <row r="40" spans="1:38" s="580" customFormat="1" ht="18" customHeight="1" hidden="1">
      <c r="A40" s="685" t="s">
        <v>307</v>
      </c>
      <c r="B40" s="666" t="s">
        <v>308</v>
      </c>
      <c r="C40" s="667">
        <v>34550</v>
      </c>
      <c r="D40" s="667">
        <v>28791</v>
      </c>
      <c r="E40" s="680">
        <v>31241</v>
      </c>
      <c r="F40" s="667">
        <v>26034</v>
      </c>
      <c r="G40" s="667">
        <v>22725</v>
      </c>
      <c r="H40" s="667">
        <v>18937</v>
      </c>
      <c r="I40" s="667">
        <v>15435</v>
      </c>
      <c r="J40" s="667">
        <v>12863</v>
      </c>
      <c r="K40" s="667">
        <v>5463</v>
      </c>
      <c r="L40" s="667">
        <v>4553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45">
        <v>0</v>
      </c>
      <c r="AB40" s="638">
        <v>0</v>
      </c>
      <c r="AC40" s="638">
        <v>0</v>
      </c>
      <c r="AD40" s="668">
        <v>0</v>
      </c>
      <c r="AE40" s="638">
        <v>0</v>
      </c>
      <c r="AF40" s="668">
        <v>0</v>
      </c>
      <c r="AG40" s="638">
        <v>0</v>
      </c>
      <c r="AH40" s="668">
        <v>0</v>
      </c>
      <c r="AI40" s="638">
        <v>0</v>
      </c>
      <c r="AJ40" s="668">
        <v>0</v>
      </c>
      <c r="AK40" s="638"/>
      <c r="AL40" s="690"/>
    </row>
    <row r="41" spans="1:38" s="580" customFormat="1" ht="18" customHeight="1" hidden="1">
      <c r="A41" s="685" t="s">
        <v>309</v>
      </c>
      <c r="B41" s="666" t="s">
        <v>310</v>
      </c>
      <c r="C41" s="668">
        <v>2742</v>
      </c>
      <c r="D41" s="638">
        <v>2285</v>
      </c>
      <c r="E41" s="668">
        <v>47911</v>
      </c>
      <c r="F41" s="638">
        <v>39926</v>
      </c>
      <c r="G41" s="667">
        <v>34082</v>
      </c>
      <c r="H41" s="667">
        <v>28402</v>
      </c>
      <c r="I41" s="667">
        <v>24239</v>
      </c>
      <c r="J41" s="667">
        <v>20199</v>
      </c>
      <c r="K41" s="667">
        <v>15283</v>
      </c>
      <c r="L41" s="667">
        <v>12736</v>
      </c>
      <c r="M41" s="667">
        <v>5697</v>
      </c>
      <c r="N41" s="667">
        <v>4747</v>
      </c>
      <c r="O41" s="638">
        <v>0</v>
      </c>
      <c r="P41" s="668">
        <v>0</v>
      </c>
      <c r="Q41" s="638">
        <v>0</v>
      </c>
      <c r="R41" s="66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0</v>
      </c>
      <c r="X41" s="638">
        <v>0</v>
      </c>
      <c r="Y41" s="638">
        <v>0</v>
      </c>
      <c r="Z41" s="638">
        <v>0</v>
      </c>
      <c r="AA41" s="645">
        <v>0</v>
      </c>
      <c r="AB41" s="638">
        <v>0</v>
      </c>
      <c r="AC41" s="638">
        <v>0</v>
      </c>
      <c r="AD41" s="668">
        <v>0</v>
      </c>
      <c r="AE41" s="638">
        <v>0</v>
      </c>
      <c r="AF41" s="668">
        <v>0</v>
      </c>
      <c r="AG41" s="638">
        <v>0</v>
      </c>
      <c r="AH41" s="668">
        <v>0</v>
      </c>
      <c r="AI41" s="638">
        <v>0</v>
      </c>
      <c r="AJ41" s="668">
        <v>0</v>
      </c>
      <c r="AK41" s="638"/>
      <c r="AL41" s="690"/>
    </row>
    <row r="42" spans="1:38" s="580" customFormat="1" ht="17.25" customHeight="1" hidden="1">
      <c r="A42" s="685" t="s">
        <v>311</v>
      </c>
      <c r="B42" s="666" t="s">
        <v>312</v>
      </c>
      <c r="C42" s="638">
        <v>0</v>
      </c>
      <c r="D42" s="638">
        <v>0</v>
      </c>
      <c r="E42" s="668">
        <v>1853</v>
      </c>
      <c r="F42" s="638">
        <v>1621</v>
      </c>
      <c r="G42" s="667">
        <v>53217</v>
      </c>
      <c r="H42" s="667">
        <v>46565</v>
      </c>
      <c r="I42" s="667">
        <v>38494</v>
      </c>
      <c r="J42" s="667">
        <v>33682</v>
      </c>
      <c r="K42" s="667">
        <v>28219</v>
      </c>
      <c r="L42" s="667">
        <v>24691</v>
      </c>
      <c r="M42" s="667">
        <v>21085</v>
      </c>
      <c r="N42" s="667">
        <v>18449</v>
      </c>
      <c r="O42" s="667">
        <v>2691</v>
      </c>
      <c r="P42" s="680">
        <v>2355</v>
      </c>
      <c r="Q42" s="638">
        <v>0</v>
      </c>
      <c r="R42" s="66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</v>
      </c>
      <c r="X42" s="638">
        <v>0</v>
      </c>
      <c r="Y42" s="638">
        <v>0</v>
      </c>
      <c r="Z42" s="638">
        <v>0</v>
      </c>
      <c r="AA42" s="645">
        <v>0</v>
      </c>
      <c r="AB42" s="638">
        <v>0</v>
      </c>
      <c r="AC42" s="638">
        <v>0</v>
      </c>
      <c r="AD42" s="668">
        <v>0</v>
      </c>
      <c r="AE42" s="638">
        <v>0</v>
      </c>
      <c r="AF42" s="668">
        <v>0</v>
      </c>
      <c r="AG42" s="638">
        <v>0</v>
      </c>
      <c r="AH42" s="668">
        <v>0</v>
      </c>
      <c r="AI42" s="638">
        <v>0</v>
      </c>
      <c r="AJ42" s="668">
        <v>0</v>
      </c>
      <c r="AK42" s="638"/>
      <c r="AL42" s="690"/>
    </row>
    <row r="43" spans="1:38" ht="17.25" customHeight="1" hidden="1">
      <c r="A43" s="685" t="s">
        <v>309</v>
      </c>
      <c r="B43" s="595" t="s">
        <v>313</v>
      </c>
      <c r="C43" s="694">
        <v>0</v>
      </c>
      <c r="D43" s="694">
        <v>0</v>
      </c>
      <c r="E43" s="622">
        <v>0</v>
      </c>
      <c r="F43" s="622">
        <v>0</v>
      </c>
      <c r="G43" s="622">
        <v>0</v>
      </c>
      <c r="H43" s="622">
        <v>0</v>
      </c>
      <c r="I43" s="622">
        <v>740</v>
      </c>
      <c r="J43" s="622">
        <v>493</v>
      </c>
      <c r="K43" s="667">
        <v>2724</v>
      </c>
      <c r="L43" s="667">
        <v>1816</v>
      </c>
      <c r="M43" s="695" t="s">
        <v>173</v>
      </c>
      <c r="N43" s="695" t="s">
        <v>173</v>
      </c>
      <c r="O43" s="667">
        <v>1256</v>
      </c>
      <c r="P43" s="680">
        <v>837</v>
      </c>
      <c r="Q43" s="638">
        <v>914</v>
      </c>
      <c r="R43" s="668">
        <v>609</v>
      </c>
      <c r="S43" s="638">
        <v>534</v>
      </c>
      <c r="T43" s="638">
        <v>356</v>
      </c>
      <c r="U43" s="638">
        <v>0</v>
      </c>
      <c r="V43" s="638">
        <v>0</v>
      </c>
      <c r="W43" s="638">
        <v>0</v>
      </c>
      <c r="X43" s="638">
        <v>0</v>
      </c>
      <c r="Y43" s="638">
        <v>0</v>
      </c>
      <c r="Z43" s="638">
        <v>0</v>
      </c>
      <c r="AA43" s="645">
        <v>0</v>
      </c>
      <c r="AB43" s="638">
        <v>0</v>
      </c>
      <c r="AC43" s="638">
        <v>0</v>
      </c>
      <c r="AD43" s="668">
        <v>0</v>
      </c>
      <c r="AE43" s="638">
        <v>0</v>
      </c>
      <c r="AF43" s="668">
        <v>0</v>
      </c>
      <c r="AG43" s="638">
        <v>0</v>
      </c>
      <c r="AH43" s="668">
        <v>0</v>
      </c>
      <c r="AI43" s="638">
        <v>0</v>
      </c>
      <c r="AJ43" s="668">
        <v>0</v>
      </c>
      <c r="AK43" s="638"/>
      <c r="AL43" s="690"/>
    </row>
    <row r="44" spans="1:38" ht="17.25" customHeight="1" hidden="1">
      <c r="A44" s="685" t="s">
        <v>314</v>
      </c>
      <c r="B44" s="595" t="s">
        <v>315</v>
      </c>
      <c r="C44" s="694">
        <v>0</v>
      </c>
      <c r="D44" s="694">
        <v>0</v>
      </c>
      <c r="E44" s="622">
        <v>0</v>
      </c>
      <c r="F44" s="622">
        <v>0</v>
      </c>
      <c r="G44" s="622">
        <v>0</v>
      </c>
      <c r="H44" s="622">
        <v>0</v>
      </c>
      <c r="I44" s="622">
        <v>217178</v>
      </c>
      <c r="J44" s="622">
        <v>173742</v>
      </c>
      <c r="K44" s="667">
        <v>114226</v>
      </c>
      <c r="L44" s="667">
        <v>91381</v>
      </c>
      <c r="M44" s="667">
        <v>70633</v>
      </c>
      <c r="N44" s="667">
        <v>56507</v>
      </c>
      <c r="O44" s="667">
        <v>32339</v>
      </c>
      <c r="P44" s="680">
        <v>25871</v>
      </c>
      <c r="Q44" s="638">
        <v>4554</v>
      </c>
      <c r="R44" s="668">
        <v>3643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45">
        <v>0</v>
      </c>
      <c r="AB44" s="638">
        <v>0</v>
      </c>
      <c r="AC44" s="638">
        <v>0</v>
      </c>
      <c r="AD44" s="668">
        <v>0</v>
      </c>
      <c r="AE44" s="638">
        <v>0</v>
      </c>
      <c r="AF44" s="668">
        <v>0</v>
      </c>
      <c r="AG44" s="638">
        <v>0</v>
      </c>
      <c r="AH44" s="668">
        <v>0</v>
      </c>
      <c r="AI44" s="638">
        <v>0</v>
      </c>
      <c r="AJ44" s="668">
        <v>0</v>
      </c>
      <c r="AK44" s="638"/>
      <c r="AL44" s="690"/>
    </row>
    <row r="45" spans="1:38" ht="17.25" customHeight="1" hidden="1">
      <c r="A45" s="685" t="s">
        <v>314</v>
      </c>
      <c r="B45" s="595" t="s">
        <v>316</v>
      </c>
      <c r="C45" s="694">
        <v>0</v>
      </c>
      <c r="D45" s="694">
        <v>0</v>
      </c>
      <c r="E45" s="622">
        <v>0</v>
      </c>
      <c r="F45" s="622">
        <v>0</v>
      </c>
      <c r="G45" s="622">
        <v>0</v>
      </c>
      <c r="H45" s="622">
        <v>0</v>
      </c>
      <c r="I45" s="622">
        <v>112411</v>
      </c>
      <c r="J45" s="622">
        <v>84308</v>
      </c>
      <c r="K45" s="667">
        <v>77721</v>
      </c>
      <c r="L45" s="667">
        <v>58291</v>
      </c>
      <c r="M45" s="667">
        <v>49735</v>
      </c>
      <c r="N45" s="667">
        <v>37301</v>
      </c>
      <c r="O45" s="667">
        <v>20477</v>
      </c>
      <c r="P45" s="680">
        <v>15358</v>
      </c>
      <c r="Q45" s="638">
        <v>2027</v>
      </c>
      <c r="R45" s="668">
        <v>1521</v>
      </c>
      <c r="S45" s="638">
        <v>0</v>
      </c>
      <c r="T45" s="638">
        <v>0</v>
      </c>
      <c r="U45" s="638">
        <v>0</v>
      </c>
      <c r="V45" s="638">
        <v>0</v>
      </c>
      <c r="W45" s="638">
        <v>0</v>
      </c>
      <c r="X45" s="638">
        <v>0</v>
      </c>
      <c r="Y45" s="638">
        <v>0</v>
      </c>
      <c r="Z45" s="638">
        <v>0</v>
      </c>
      <c r="AA45" s="645">
        <v>0</v>
      </c>
      <c r="AB45" s="638">
        <v>0</v>
      </c>
      <c r="AC45" s="638">
        <v>0</v>
      </c>
      <c r="AD45" s="668">
        <v>0</v>
      </c>
      <c r="AE45" s="638">
        <v>0</v>
      </c>
      <c r="AF45" s="668">
        <v>0</v>
      </c>
      <c r="AG45" s="638">
        <v>0</v>
      </c>
      <c r="AH45" s="668">
        <v>0</v>
      </c>
      <c r="AI45" s="638">
        <v>0</v>
      </c>
      <c r="AJ45" s="668">
        <v>0</v>
      </c>
      <c r="AK45" s="638"/>
      <c r="AL45" s="690"/>
    </row>
    <row r="46" spans="1:38" ht="18" customHeight="1" hidden="1">
      <c r="A46" s="685" t="s">
        <v>317</v>
      </c>
      <c r="B46" s="595" t="s">
        <v>318</v>
      </c>
      <c r="C46" s="679">
        <v>639297</v>
      </c>
      <c r="D46" s="622">
        <v>479473</v>
      </c>
      <c r="E46" s="679">
        <v>342958</v>
      </c>
      <c r="F46" s="622">
        <v>257219</v>
      </c>
      <c r="G46" s="622">
        <v>294258</v>
      </c>
      <c r="H46" s="622">
        <v>220694</v>
      </c>
      <c r="I46" s="622">
        <v>43327</v>
      </c>
      <c r="J46" s="622">
        <v>32496</v>
      </c>
      <c r="K46" s="667">
        <v>7786</v>
      </c>
      <c r="L46" s="667">
        <v>5840</v>
      </c>
      <c r="M46" s="606">
        <v>0</v>
      </c>
      <c r="N46" s="606">
        <v>0</v>
      </c>
      <c r="O46" s="606">
        <v>0</v>
      </c>
      <c r="P46" s="607">
        <v>0</v>
      </c>
      <c r="Q46" s="606">
        <v>0</v>
      </c>
      <c r="R46" s="607">
        <v>0</v>
      </c>
      <c r="S46" s="606">
        <v>0</v>
      </c>
      <c r="T46" s="606">
        <v>0</v>
      </c>
      <c r="U46" s="606">
        <v>0</v>
      </c>
      <c r="V46" s="606">
        <v>0</v>
      </c>
      <c r="W46" s="638">
        <v>0</v>
      </c>
      <c r="X46" s="638">
        <v>0</v>
      </c>
      <c r="Y46" s="638">
        <v>0</v>
      </c>
      <c r="Z46" s="638">
        <v>0</v>
      </c>
      <c r="AA46" s="645">
        <v>0</v>
      </c>
      <c r="AB46" s="638">
        <v>0</v>
      </c>
      <c r="AC46" s="638">
        <v>0</v>
      </c>
      <c r="AD46" s="668">
        <v>0</v>
      </c>
      <c r="AE46" s="638">
        <v>0</v>
      </c>
      <c r="AF46" s="668">
        <v>0</v>
      </c>
      <c r="AG46" s="638">
        <v>0</v>
      </c>
      <c r="AH46" s="668">
        <v>0</v>
      </c>
      <c r="AI46" s="638">
        <v>0</v>
      </c>
      <c r="AJ46" s="668">
        <v>0</v>
      </c>
      <c r="AK46" s="638"/>
      <c r="AL46" s="690"/>
    </row>
    <row r="47" spans="1:38" ht="18" customHeight="1" hidden="1">
      <c r="A47" s="685" t="s">
        <v>311</v>
      </c>
      <c r="B47" s="696" t="s">
        <v>319</v>
      </c>
      <c r="C47" s="604">
        <v>19460</v>
      </c>
      <c r="D47" s="622">
        <v>15568</v>
      </c>
      <c r="E47" s="604">
        <v>31621</v>
      </c>
      <c r="F47" s="622">
        <v>25297</v>
      </c>
      <c r="G47" s="604">
        <v>0</v>
      </c>
      <c r="H47" s="694">
        <v>0</v>
      </c>
      <c r="I47" s="604">
        <v>83835</v>
      </c>
      <c r="J47" s="694">
        <v>67068</v>
      </c>
      <c r="K47" s="606">
        <v>116415</v>
      </c>
      <c r="L47" s="638">
        <v>93132</v>
      </c>
      <c r="M47" s="606">
        <v>83692</v>
      </c>
      <c r="N47" s="638">
        <v>66953</v>
      </c>
      <c r="O47" s="606">
        <v>56938</v>
      </c>
      <c r="P47" s="668">
        <v>45550</v>
      </c>
      <c r="Q47" s="638">
        <v>4994</v>
      </c>
      <c r="R47" s="668">
        <v>3995</v>
      </c>
      <c r="S47" s="638">
        <v>20721</v>
      </c>
      <c r="T47" s="638">
        <v>16577</v>
      </c>
      <c r="U47" s="638">
        <v>0</v>
      </c>
      <c r="V47" s="638">
        <v>0</v>
      </c>
      <c r="W47" s="638">
        <v>0</v>
      </c>
      <c r="X47" s="638">
        <v>0</v>
      </c>
      <c r="Y47" s="638">
        <v>0</v>
      </c>
      <c r="Z47" s="638">
        <v>0</v>
      </c>
      <c r="AA47" s="645">
        <v>0</v>
      </c>
      <c r="AB47" s="638">
        <v>0</v>
      </c>
      <c r="AC47" s="638">
        <v>0</v>
      </c>
      <c r="AD47" s="668">
        <v>0</v>
      </c>
      <c r="AE47" s="638">
        <v>0</v>
      </c>
      <c r="AF47" s="668">
        <v>0</v>
      </c>
      <c r="AG47" s="638">
        <v>0</v>
      </c>
      <c r="AH47" s="668">
        <v>0</v>
      </c>
      <c r="AI47" s="638">
        <v>0</v>
      </c>
      <c r="AJ47" s="668">
        <v>0</v>
      </c>
      <c r="AK47" s="638"/>
      <c r="AL47" s="690"/>
    </row>
    <row r="48" spans="1:38" ht="18" customHeight="1" hidden="1">
      <c r="A48" s="685" t="s">
        <v>311</v>
      </c>
      <c r="B48" s="696" t="s">
        <v>320</v>
      </c>
      <c r="C48" s="604">
        <v>0</v>
      </c>
      <c r="D48" s="604">
        <v>0</v>
      </c>
      <c r="E48" s="605">
        <v>0</v>
      </c>
      <c r="F48" s="604">
        <v>0</v>
      </c>
      <c r="G48" s="604">
        <v>0</v>
      </c>
      <c r="H48" s="604">
        <v>0</v>
      </c>
      <c r="I48" s="604">
        <v>91930</v>
      </c>
      <c r="J48" s="694">
        <v>76608</v>
      </c>
      <c r="K48" s="606">
        <v>109269</v>
      </c>
      <c r="L48" s="638">
        <v>91058</v>
      </c>
      <c r="M48" s="606">
        <v>128276</v>
      </c>
      <c r="N48" s="638">
        <v>106897</v>
      </c>
      <c r="O48" s="606">
        <v>156997</v>
      </c>
      <c r="P48" s="668">
        <v>130831</v>
      </c>
      <c r="Q48" s="606">
        <v>178275</v>
      </c>
      <c r="R48" s="668">
        <v>147487</v>
      </c>
      <c r="S48" s="606">
        <v>90618</v>
      </c>
      <c r="T48" s="638">
        <v>75515</v>
      </c>
      <c r="U48" s="638">
        <v>69473</v>
      </c>
      <c r="V48" s="638">
        <v>57894</v>
      </c>
      <c r="W48" s="622">
        <v>36130</v>
      </c>
      <c r="X48" s="681">
        <v>30109</v>
      </c>
      <c r="Y48" s="622">
        <v>9700</v>
      </c>
      <c r="Z48" s="681">
        <v>8084</v>
      </c>
      <c r="AA48" s="645">
        <v>0</v>
      </c>
      <c r="AB48" s="638">
        <v>0</v>
      </c>
      <c r="AC48" s="638">
        <v>0</v>
      </c>
      <c r="AD48" s="668">
        <v>0</v>
      </c>
      <c r="AE48" s="638">
        <v>0</v>
      </c>
      <c r="AF48" s="668">
        <v>0</v>
      </c>
      <c r="AG48" s="638">
        <v>0</v>
      </c>
      <c r="AH48" s="668">
        <v>0</v>
      </c>
      <c r="AI48" s="638">
        <v>0</v>
      </c>
      <c r="AJ48" s="668">
        <v>0</v>
      </c>
      <c r="AK48" s="638"/>
      <c r="AL48" s="690"/>
    </row>
    <row r="49" spans="1:38" ht="17.25" customHeight="1">
      <c r="A49" s="685" t="s">
        <v>321</v>
      </c>
      <c r="B49" s="697" t="s">
        <v>322</v>
      </c>
      <c r="C49" s="605">
        <v>0</v>
      </c>
      <c r="D49" s="604">
        <v>0</v>
      </c>
      <c r="E49" s="605">
        <v>0</v>
      </c>
      <c r="F49" s="604">
        <v>0</v>
      </c>
      <c r="G49" s="604">
        <v>0</v>
      </c>
      <c r="H49" s="604">
        <v>0</v>
      </c>
      <c r="I49" s="605">
        <v>0</v>
      </c>
      <c r="J49" s="604">
        <v>0</v>
      </c>
      <c r="K49" s="638">
        <v>398455</v>
      </c>
      <c r="L49" s="638">
        <v>199228</v>
      </c>
      <c r="M49" s="638">
        <v>290591</v>
      </c>
      <c r="N49" s="638">
        <v>145295</v>
      </c>
      <c r="O49" s="638">
        <v>234756</v>
      </c>
      <c r="P49" s="668">
        <v>117378</v>
      </c>
      <c r="Q49" s="638">
        <v>199463</v>
      </c>
      <c r="R49" s="668">
        <v>99731</v>
      </c>
      <c r="S49" s="638">
        <v>165815</v>
      </c>
      <c r="T49" s="638">
        <v>82907</v>
      </c>
      <c r="U49" s="638">
        <v>0</v>
      </c>
      <c r="V49" s="638">
        <v>0</v>
      </c>
      <c r="W49" s="638">
        <v>123555</v>
      </c>
      <c r="X49" s="638">
        <v>74133</v>
      </c>
      <c r="Y49" s="638">
        <v>108227</v>
      </c>
      <c r="Z49" s="638">
        <v>64936</v>
      </c>
      <c r="AA49" s="645">
        <v>94696</v>
      </c>
      <c r="AB49" s="638">
        <v>75757</v>
      </c>
      <c r="AC49" s="638">
        <v>80313</v>
      </c>
      <c r="AD49" s="668">
        <v>64250</v>
      </c>
      <c r="AE49" s="638">
        <v>66936</v>
      </c>
      <c r="AF49" s="668">
        <v>55780</v>
      </c>
      <c r="AG49" s="638">
        <v>59508</v>
      </c>
      <c r="AH49" s="668">
        <v>49590</v>
      </c>
      <c r="AI49" s="638">
        <v>0</v>
      </c>
      <c r="AJ49" s="668">
        <v>0</v>
      </c>
      <c r="AK49" s="638">
        <v>0</v>
      </c>
      <c r="AL49" s="690">
        <v>0</v>
      </c>
    </row>
    <row r="50" spans="1:38" s="580" customFormat="1" ht="18" customHeight="1" hidden="1">
      <c r="A50" s="685" t="s">
        <v>323</v>
      </c>
      <c r="B50" s="666" t="s">
        <v>324</v>
      </c>
      <c r="C50" s="606">
        <v>0</v>
      </c>
      <c r="D50" s="606">
        <v>0</v>
      </c>
      <c r="E50" s="607">
        <v>0</v>
      </c>
      <c r="F50" s="606">
        <v>0</v>
      </c>
      <c r="G50" s="606">
        <v>11626</v>
      </c>
      <c r="H50" s="606">
        <v>10463</v>
      </c>
      <c r="I50" s="606">
        <v>9231</v>
      </c>
      <c r="J50" s="606">
        <v>8308</v>
      </c>
      <c r="K50" s="606">
        <v>7329</v>
      </c>
      <c r="L50" s="606">
        <v>6596</v>
      </c>
      <c r="M50" s="606">
        <v>5819</v>
      </c>
      <c r="N50" s="606">
        <v>5238</v>
      </c>
      <c r="O50" s="606">
        <v>4621</v>
      </c>
      <c r="P50" s="607">
        <v>4159</v>
      </c>
      <c r="Q50" s="638">
        <v>0</v>
      </c>
      <c r="R50" s="668">
        <v>0</v>
      </c>
      <c r="S50" s="638">
        <v>0</v>
      </c>
      <c r="T50" s="638">
        <v>0</v>
      </c>
      <c r="U50" s="638">
        <v>0</v>
      </c>
      <c r="V50" s="638">
        <v>0</v>
      </c>
      <c r="W50" s="638">
        <v>0</v>
      </c>
      <c r="X50" s="638">
        <v>0</v>
      </c>
      <c r="Y50" s="638">
        <v>0</v>
      </c>
      <c r="Z50" s="638">
        <v>0</v>
      </c>
      <c r="AA50" s="645">
        <v>0</v>
      </c>
      <c r="AB50" s="638">
        <v>0</v>
      </c>
      <c r="AC50" s="638">
        <v>0</v>
      </c>
      <c r="AD50" s="668">
        <v>0</v>
      </c>
      <c r="AE50" s="638">
        <v>0</v>
      </c>
      <c r="AF50" s="668">
        <v>0</v>
      </c>
      <c r="AG50" s="638">
        <v>0</v>
      </c>
      <c r="AH50" s="668">
        <v>0</v>
      </c>
      <c r="AI50" s="638">
        <v>0</v>
      </c>
      <c r="AJ50" s="668">
        <v>0</v>
      </c>
      <c r="AK50" s="638"/>
      <c r="AL50" s="690"/>
    </row>
    <row r="51" spans="1:38" ht="17.25" customHeight="1">
      <c r="A51" s="685" t="s">
        <v>325</v>
      </c>
      <c r="B51" s="595" t="s">
        <v>326</v>
      </c>
      <c r="C51" s="604">
        <v>0</v>
      </c>
      <c r="D51" s="604">
        <v>0</v>
      </c>
      <c r="E51" s="605">
        <v>0</v>
      </c>
      <c r="F51" s="604">
        <v>0</v>
      </c>
      <c r="G51" s="604">
        <v>0</v>
      </c>
      <c r="H51" s="604">
        <v>0</v>
      </c>
      <c r="I51" s="694">
        <v>14539</v>
      </c>
      <c r="J51" s="694">
        <v>7269</v>
      </c>
      <c r="K51" s="638">
        <v>7971</v>
      </c>
      <c r="L51" s="638">
        <v>3986</v>
      </c>
      <c r="M51" s="638">
        <v>31264</v>
      </c>
      <c r="N51" s="638">
        <v>15632</v>
      </c>
      <c r="O51" s="638">
        <v>23054</v>
      </c>
      <c r="P51" s="668">
        <v>11527</v>
      </c>
      <c r="Q51" s="638">
        <v>8512</v>
      </c>
      <c r="R51" s="668">
        <v>4256</v>
      </c>
      <c r="S51" s="638">
        <v>0</v>
      </c>
      <c r="T51" s="638">
        <v>0</v>
      </c>
      <c r="U51" s="638">
        <v>0</v>
      </c>
      <c r="V51" s="638">
        <v>0</v>
      </c>
      <c r="W51" s="638">
        <v>0</v>
      </c>
      <c r="X51" s="638">
        <v>0</v>
      </c>
      <c r="Y51" s="638">
        <v>0</v>
      </c>
      <c r="Z51" s="638">
        <v>0</v>
      </c>
      <c r="AA51" s="645">
        <v>0</v>
      </c>
      <c r="AB51" s="638">
        <v>0</v>
      </c>
      <c r="AC51" s="638">
        <v>4535</v>
      </c>
      <c r="AD51" s="668">
        <v>2268</v>
      </c>
      <c r="AE51" s="638">
        <v>2549</v>
      </c>
      <c r="AF51" s="668">
        <v>1274</v>
      </c>
      <c r="AG51" s="638">
        <v>1432</v>
      </c>
      <c r="AH51" s="668">
        <v>716</v>
      </c>
      <c r="AI51" s="638">
        <v>0</v>
      </c>
      <c r="AJ51" s="668">
        <v>0</v>
      </c>
      <c r="AK51" s="638">
        <v>0</v>
      </c>
      <c r="AL51" s="690">
        <v>0</v>
      </c>
    </row>
    <row r="52" spans="1:38" ht="18" customHeight="1" hidden="1">
      <c r="A52" s="594" t="s">
        <v>327</v>
      </c>
      <c r="B52" s="595" t="s">
        <v>328</v>
      </c>
      <c r="C52" s="604">
        <v>0</v>
      </c>
      <c r="D52" s="604">
        <v>0</v>
      </c>
      <c r="E52" s="605">
        <v>0</v>
      </c>
      <c r="F52" s="604">
        <v>0</v>
      </c>
      <c r="G52" s="604">
        <v>0</v>
      </c>
      <c r="H52" s="604">
        <v>0</v>
      </c>
      <c r="I52" s="604">
        <v>0</v>
      </c>
      <c r="J52" s="604">
        <v>0</v>
      </c>
      <c r="K52" s="606">
        <v>0</v>
      </c>
      <c r="L52" s="606">
        <v>0</v>
      </c>
      <c r="M52" s="606">
        <v>0</v>
      </c>
      <c r="N52" s="606">
        <v>0</v>
      </c>
      <c r="O52" s="638">
        <v>0</v>
      </c>
      <c r="P52" s="668">
        <v>0</v>
      </c>
      <c r="Q52" s="638">
        <v>0</v>
      </c>
      <c r="R52" s="668">
        <v>0</v>
      </c>
      <c r="S52" s="638">
        <v>0</v>
      </c>
      <c r="T52" s="638">
        <v>0</v>
      </c>
      <c r="U52" s="638"/>
      <c r="V52" s="638"/>
      <c r="W52" s="622"/>
      <c r="X52" s="622"/>
      <c r="Y52" s="622"/>
      <c r="Z52" s="622"/>
      <c r="AA52" s="681"/>
      <c r="AB52" s="622"/>
      <c r="AC52" s="622"/>
      <c r="AD52" s="679"/>
      <c r="AE52" s="622"/>
      <c r="AF52" s="679"/>
      <c r="AG52" s="622"/>
      <c r="AH52" s="679"/>
      <c r="AI52" s="622"/>
      <c r="AJ52" s="679"/>
      <c r="AK52" s="667"/>
      <c r="AL52" s="688"/>
    </row>
    <row r="53" spans="1:38" ht="18" customHeight="1" hidden="1">
      <c r="A53" s="594" t="s">
        <v>311</v>
      </c>
      <c r="B53" s="595" t="s">
        <v>329</v>
      </c>
      <c r="C53" s="698">
        <v>0</v>
      </c>
      <c r="D53" s="694">
        <v>0</v>
      </c>
      <c r="E53" s="698">
        <v>0</v>
      </c>
      <c r="F53" s="694">
        <v>0</v>
      </c>
      <c r="G53" s="694">
        <v>0</v>
      </c>
      <c r="H53" s="694">
        <v>0</v>
      </c>
      <c r="I53" s="694">
        <v>0</v>
      </c>
      <c r="J53" s="694">
        <v>0</v>
      </c>
      <c r="K53" s="638">
        <v>0</v>
      </c>
      <c r="L53" s="638">
        <v>0</v>
      </c>
      <c r="M53" s="638">
        <v>0</v>
      </c>
      <c r="N53" s="638">
        <v>0</v>
      </c>
      <c r="O53" s="638">
        <v>0</v>
      </c>
      <c r="P53" s="668">
        <v>0</v>
      </c>
      <c r="Q53" s="638">
        <v>0</v>
      </c>
      <c r="R53" s="668">
        <v>0</v>
      </c>
      <c r="S53" s="638">
        <v>0</v>
      </c>
      <c r="T53" s="638">
        <v>0</v>
      </c>
      <c r="U53" s="638"/>
      <c r="V53" s="638"/>
      <c r="W53" s="622"/>
      <c r="X53" s="622"/>
      <c r="Y53" s="622"/>
      <c r="Z53" s="622"/>
      <c r="AA53" s="681"/>
      <c r="AB53" s="622"/>
      <c r="AC53" s="622"/>
      <c r="AD53" s="679"/>
      <c r="AE53" s="622"/>
      <c r="AF53" s="679"/>
      <c r="AG53" s="622"/>
      <c r="AH53" s="679"/>
      <c r="AI53" s="622"/>
      <c r="AJ53" s="679"/>
      <c r="AK53" s="667"/>
      <c r="AL53" s="688"/>
    </row>
    <row r="54" spans="1:38" ht="18" customHeight="1" hidden="1">
      <c r="A54" s="594" t="s">
        <v>311</v>
      </c>
      <c r="B54" s="595" t="s">
        <v>330</v>
      </c>
      <c r="C54" s="679">
        <v>367829</v>
      </c>
      <c r="D54" s="622">
        <v>331046</v>
      </c>
      <c r="E54" s="679">
        <v>84898</v>
      </c>
      <c r="F54" s="622">
        <v>76408</v>
      </c>
      <c r="G54" s="694">
        <v>0</v>
      </c>
      <c r="H54" s="694">
        <v>0</v>
      </c>
      <c r="I54" s="694">
        <v>0</v>
      </c>
      <c r="J54" s="694">
        <v>0</v>
      </c>
      <c r="K54" s="638">
        <v>0</v>
      </c>
      <c r="L54" s="638">
        <v>0</v>
      </c>
      <c r="M54" s="638">
        <v>0</v>
      </c>
      <c r="N54" s="638">
        <v>0</v>
      </c>
      <c r="O54" s="638">
        <v>0</v>
      </c>
      <c r="P54" s="668">
        <v>0</v>
      </c>
      <c r="Q54" s="638">
        <v>0</v>
      </c>
      <c r="R54" s="668">
        <v>0</v>
      </c>
      <c r="S54" s="638">
        <v>0</v>
      </c>
      <c r="T54" s="638">
        <v>0</v>
      </c>
      <c r="U54" s="638"/>
      <c r="V54" s="638"/>
      <c r="W54" s="622"/>
      <c r="X54" s="622"/>
      <c r="Y54" s="622"/>
      <c r="Z54" s="622"/>
      <c r="AA54" s="681"/>
      <c r="AB54" s="622"/>
      <c r="AC54" s="622"/>
      <c r="AD54" s="679"/>
      <c r="AE54" s="622"/>
      <c r="AF54" s="679"/>
      <c r="AG54" s="622"/>
      <c r="AH54" s="679"/>
      <c r="AI54" s="622"/>
      <c r="AJ54" s="679"/>
      <c r="AK54" s="667"/>
      <c r="AL54" s="688"/>
    </row>
    <row r="55" spans="1:38" ht="17.25" customHeight="1">
      <c r="A55" s="685" t="s">
        <v>331</v>
      </c>
      <c r="B55" s="595" t="s">
        <v>332</v>
      </c>
      <c r="C55" s="604"/>
      <c r="D55" s="604"/>
      <c r="E55" s="605"/>
      <c r="F55" s="604"/>
      <c r="G55" s="604"/>
      <c r="H55" s="604"/>
      <c r="I55" s="605"/>
      <c r="J55" s="604"/>
      <c r="K55" s="638"/>
      <c r="L55" s="638"/>
      <c r="M55" s="638">
        <v>0</v>
      </c>
      <c r="N55" s="638">
        <v>0</v>
      </c>
      <c r="O55" s="638">
        <v>0</v>
      </c>
      <c r="P55" s="638">
        <v>0</v>
      </c>
      <c r="Q55" s="638">
        <v>0</v>
      </c>
      <c r="R55" s="638">
        <v>0</v>
      </c>
      <c r="S55" s="638">
        <v>0</v>
      </c>
      <c r="T55" s="638">
        <v>0</v>
      </c>
      <c r="U55" s="638">
        <v>73733</v>
      </c>
      <c r="V55" s="638">
        <v>49155</v>
      </c>
      <c r="W55" s="622">
        <v>888792</v>
      </c>
      <c r="X55" s="681">
        <v>592528</v>
      </c>
      <c r="Y55" s="622">
        <v>3636553</v>
      </c>
      <c r="Z55" s="681">
        <v>2424369</v>
      </c>
      <c r="AA55" s="681">
        <v>5091291</v>
      </c>
      <c r="AB55" s="622">
        <v>3394194</v>
      </c>
      <c r="AC55" s="622">
        <v>3757868</v>
      </c>
      <c r="AD55" s="682">
        <v>2487861</v>
      </c>
      <c r="AE55" s="622">
        <v>1520555</v>
      </c>
      <c r="AF55" s="682">
        <v>1013703</v>
      </c>
      <c r="AG55" s="622">
        <v>158566</v>
      </c>
      <c r="AH55" s="682">
        <v>105710</v>
      </c>
      <c r="AI55" s="638">
        <v>0</v>
      </c>
      <c r="AJ55" s="668">
        <v>0</v>
      </c>
      <c r="AK55" s="638">
        <v>0</v>
      </c>
      <c r="AL55" s="690">
        <v>0</v>
      </c>
    </row>
    <row r="56" spans="1:38" ht="18" customHeight="1" hidden="1">
      <c r="A56" s="594" t="s">
        <v>333</v>
      </c>
      <c r="B56" s="595" t="s">
        <v>334</v>
      </c>
      <c r="C56" s="622">
        <v>0</v>
      </c>
      <c r="D56" s="622">
        <v>0</v>
      </c>
      <c r="E56" s="679">
        <v>0</v>
      </c>
      <c r="F56" s="622">
        <v>0</v>
      </c>
      <c r="G56" s="694">
        <v>0</v>
      </c>
      <c r="H56" s="694">
        <v>0</v>
      </c>
      <c r="I56" s="694">
        <v>31576</v>
      </c>
      <c r="J56" s="694">
        <v>25261</v>
      </c>
      <c r="K56" s="638">
        <v>48404</v>
      </c>
      <c r="L56" s="638">
        <v>38723</v>
      </c>
      <c r="M56" s="638">
        <v>200671</v>
      </c>
      <c r="N56" s="638">
        <v>160537</v>
      </c>
      <c r="O56" s="638">
        <v>180916</v>
      </c>
      <c r="P56" s="668">
        <v>144733</v>
      </c>
      <c r="Q56" s="638">
        <v>133047</v>
      </c>
      <c r="R56" s="668">
        <v>106437</v>
      </c>
      <c r="S56" s="638">
        <v>102427</v>
      </c>
      <c r="T56" s="638">
        <v>81941</v>
      </c>
      <c r="U56" s="638">
        <v>72850</v>
      </c>
      <c r="V56" s="638">
        <v>58280</v>
      </c>
      <c r="W56" s="622">
        <v>13341</v>
      </c>
      <c r="X56" s="681">
        <v>10673</v>
      </c>
      <c r="Y56" s="622">
        <v>3696</v>
      </c>
      <c r="Z56" s="681">
        <v>2957</v>
      </c>
      <c r="AA56" s="699">
        <v>0</v>
      </c>
      <c r="AB56" s="699">
        <v>0</v>
      </c>
      <c r="AC56" s="694">
        <v>0</v>
      </c>
      <c r="AD56" s="700">
        <v>0</v>
      </c>
      <c r="AE56" s="694">
        <v>0</v>
      </c>
      <c r="AF56" s="700">
        <v>0</v>
      </c>
      <c r="AG56" s="694">
        <v>0</v>
      </c>
      <c r="AH56" s="700">
        <v>0</v>
      </c>
      <c r="AI56" s="694"/>
      <c r="AJ56" s="698"/>
      <c r="AK56" s="638"/>
      <c r="AL56" s="690"/>
    </row>
    <row r="57" spans="1:38" s="580" customFormat="1" ht="17.25" customHeight="1">
      <c r="A57" s="685" t="s">
        <v>335</v>
      </c>
      <c r="B57" s="666" t="s">
        <v>297</v>
      </c>
      <c r="C57" s="606"/>
      <c r="D57" s="606"/>
      <c r="E57" s="607"/>
      <c r="F57" s="606"/>
      <c r="G57" s="606"/>
      <c r="H57" s="606"/>
      <c r="I57" s="607"/>
      <c r="J57" s="606"/>
      <c r="K57" s="638"/>
      <c r="L57" s="638"/>
      <c r="M57" s="638"/>
      <c r="N57" s="638"/>
      <c r="O57" s="638"/>
      <c r="P57" s="668"/>
      <c r="Q57" s="638"/>
      <c r="R57" s="668"/>
      <c r="S57" s="638"/>
      <c r="T57" s="638"/>
      <c r="U57" s="638"/>
      <c r="V57" s="638"/>
      <c r="W57" s="638"/>
      <c r="X57" s="645"/>
      <c r="Y57" s="638">
        <v>0</v>
      </c>
      <c r="Z57" s="645">
        <v>0</v>
      </c>
      <c r="AA57" s="645">
        <v>0</v>
      </c>
      <c r="AB57" s="638">
        <v>0</v>
      </c>
      <c r="AC57" s="638">
        <v>0</v>
      </c>
      <c r="AD57" s="691">
        <v>0</v>
      </c>
      <c r="AE57" s="638">
        <v>0</v>
      </c>
      <c r="AF57" s="691">
        <v>0</v>
      </c>
      <c r="AG57" s="638">
        <v>624950</v>
      </c>
      <c r="AH57" s="691">
        <v>0</v>
      </c>
      <c r="AI57" s="638">
        <v>2267427</v>
      </c>
      <c r="AJ57" s="668">
        <v>0</v>
      </c>
      <c r="AK57" s="692">
        <v>3725073</v>
      </c>
      <c r="AL57" s="693" t="s">
        <v>173</v>
      </c>
    </row>
    <row r="58" spans="1:38" s="580" customFormat="1" ht="17.25" customHeight="1">
      <c r="A58" s="685" t="s">
        <v>336</v>
      </c>
      <c r="B58" s="666" t="s">
        <v>337</v>
      </c>
      <c r="C58" s="606"/>
      <c r="D58" s="606"/>
      <c r="E58" s="607">
        <v>0</v>
      </c>
      <c r="F58" s="606">
        <v>0</v>
      </c>
      <c r="G58" s="606">
        <v>0</v>
      </c>
      <c r="H58" s="606">
        <v>0</v>
      </c>
      <c r="I58" s="607">
        <v>0</v>
      </c>
      <c r="J58" s="606">
        <v>0</v>
      </c>
      <c r="K58" s="638">
        <v>0</v>
      </c>
      <c r="L58" s="638">
        <v>0</v>
      </c>
      <c r="M58" s="638">
        <v>0</v>
      </c>
      <c r="N58" s="638">
        <v>0</v>
      </c>
      <c r="O58" s="638">
        <v>0</v>
      </c>
      <c r="P58" s="668">
        <v>0</v>
      </c>
      <c r="Q58" s="638">
        <v>0</v>
      </c>
      <c r="R58" s="668">
        <v>0</v>
      </c>
      <c r="S58" s="638">
        <v>0</v>
      </c>
      <c r="T58" s="638">
        <v>0</v>
      </c>
      <c r="U58" s="638">
        <v>0</v>
      </c>
      <c r="V58" s="638">
        <v>0</v>
      </c>
      <c r="W58" s="638">
        <v>0</v>
      </c>
      <c r="X58" s="638">
        <v>0</v>
      </c>
      <c r="Y58" s="638">
        <v>0</v>
      </c>
      <c r="Z58" s="638">
        <v>0</v>
      </c>
      <c r="AA58" s="645">
        <v>0</v>
      </c>
      <c r="AB58" s="638">
        <v>0</v>
      </c>
      <c r="AC58" s="638">
        <v>421868</v>
      </c>
      <c r="AD58" s="668">
        <v>210934</v>
      </c>
      <c r="AE58" s="638">
        <v>1831719</v>
      </c>
      <c r="AF58" s="668">
        <v>915860</v>
      </c>
      <c r="AG58" s="638">
        <v>3278963</v>
      </c>
      <c r="AH58" s="668">
        <v>1639482</v>
      </c>
      <c r="AI58" s="638">
        <v>2729715</v>
      </c>
      <c r="AJ58" s="668">
        <v>1364857</v>
      </c>
      <c r="AK58" s="638">
        <v>878351</v>
      </c>
      <c r="AL58" s="690">
        <v>439176</v>
      </c>
    </row>
    <row r="59" spans="1:38" ht="18" customHeight="1">
      <c r="A59" s="933" t="s">
        <v>55</v>
      </c>
      <c r="B59" s="934"/>
      <c r="C59" s="701">
        <v>1702459</v>
      </c>
      <c r="D59" s="701">
        <v>1137890</v>
      </c>
      <c r="E59" s="701">
        <f>SUM(E15:E26)+SUM(E28:E30)+SUM(E35:E54)+E11+E14</f>
        <v>2808617</v>
      </c>
      <c r="F59" s="701">
        <f>SUM(F15:F26)+SUM(F28:F30)+SUM(F35:F54)+F11+F14</f>
        <v>1539589</v>
      </c>
      <c r="G59" s="701">
        <f>SUM(G28:G30)+SUM(G35:G54)+G11+G14+G15+G19+G20+G26+G22</f>
        <v>2506585</v>
      </c>
      <c r="H59" s="701">
        <f>SUM(H28:H30)+SUM(H35:H54)+H11+H14+H15+H19+H20+H26+H22</f>
        <v>1388493</v>
      </c>
      <c r="I59" s="701">
        <f aca="true" t="shared" si="3" ref="I59:X59">SUM(I28:I31)+SUM(I35:I56)+I11+I14+I15+I19+I20+I26+I22</f>
        <v>2506306</v>
      </c>
      <c r="J59" s="701">
        <f t="shared" si="3"/>
        <v>1405934</v>
      </c>
      <c r="K59" s="701">
        <f t="shared" si="3"/>
        <v>2517045</v>
      </c>
      <c r="L59" s="701">
        <f t="shared" si="3"/>
        <v>1360793</v>
      </c>
      <c r="M59" s="701">
        <f t="shared" si="3"/>
        <v>2969995</v>
      </c>
      <c r="N59" s="701">
        <f t="shared" si="3"/>
        <v>1784549</v>
      </c>
      <c r="O59" s="701">
        <f t="shared" si="3"/>
        <v>3044256</v>
      </c>
      <c r="P59" s="702">
        <f t="shared" si="3"/>
        <v>1502440</v>
      </c>
      <c r="Q59" s="701">
        <f t="shared" si="3"/>
        <v>2481953</v>
      </c>
      <c r="R59" s="702">
        <f t="shared" si="3"/>
        <v>1204191</v>
      </c>
      <c r="S59" s="701">
        <f t="shared" si="3"/>
        <v>1956044</v>
      </c>
      <c r="T59" s="701">
        <f t="shared" si="3"/>
        <v>929736</v>
      </c>
      <c r="U59" s="701">
        <f t="shared" si="3"/>
        <v>1620350</v>
      </c>
      <c r="V59" s="701">
        <f t="shared" si="3"/>
        <v>733173</v>
      </c>
      <c r="W59" s="701">
        <f t="shared" si="3"/>
        <v>2258204</v>
      </c>
      <c r="X59" s="701">
        <f t="shared" si="3"/>
        <v>1204184</v>
      </c>
      <c r="Y59" s="701">
        <f aca="true" t="shared" si="4" ref="Y59:AK59">SUM(Y12:Y58)-Y14-Y19</f>
        <v>4900385</v>
      </c>
      <c r="Z59" s="702">
        <f t="shared" si="4"/>
        <v>2984775</v>
      </c>
      <c r="AA59" s="701">
        <f t="shared" si="4"/>
        <v>6328564</v>
      </c>
      <c r="AB59" s="701">
        <f t="shared" si="4"/>
        <v>3967999</v>
      </c>
      <c r="AC59" s="701">
        <f t="shared" si="4"/>
        <v>5379230</v>
      </c>
      <c r="AD59" s="701">
        <f t="shared" si="4"/>
        <v>3262798</v>
      </c>
      <c r="AE59" s="701">
        <f t="shared" si="4"/>
        <v>4631696</v>
      </c>
      <c r="AF59" s="702">
        <f t="shared" si="4"/>
        <v>2535391</v>
      </c>
      <c r="AG59" s="701">
        <f t="shared" si="4"/>
        <v>6054361</v>
      </c>
      <c r="AH59" s="702">
        <f t="shared" si="4"/>
        <v>2394452</v>
      </c>
      <c r="AI59" s="701">
        <f>SUM(AI12:AI58)-AI14-AI19</f>
        <v>8899806</v>
      </c>
      <c r="AJ59" s="702">
        <f>SUM(AJ12:AJ58)-AJ14-AJ19</f>
        <v>2129666</v>
      </c>
      <c r="AK59" s="701">
        <f t="shared" si="4"/>
        <v>6230717</v>
      </c>
      <c r="AL59" s="703">
        <f>SUM(AL12:AL58)-AL14-AL19</f>
        <v>1200497</v>
      </c>
    </row>
    <row r="60" spans="1:38" ht="18" customHeight="1" thickBot="1">
      <c r="A60" s="935" t="s">
        <v>4</v>
      </c>
      <c r="B60" s="936"/>
      <c r="C60" s="704">
        <v>62.5</v>
      </c>
      <c r="D60" s="704">
        <v>59.5</v>
      </c>
      <c r="E60" s="705">
        <f>ROUND((E59/C59)*100,1)</f>
        <v>165</v>
      </c>
      <c r="F60" s="704">
        <f>ROUND((F59/D59)*100,1)</f>
        <v>135.3</v>
      </c>
      <c r="G60" s="704">
        <f aca="true" t="shared" si="5" ref="G60:AH60">ROUND((G59/E59)*100,1)</f>
        <v>89.2</v>
      </c>
      <c r="H60" s="704">
        <f t="shared" si="5"/>
        <v>90.2</v>
      </c>
      <c r="I60" s="704">
        <f t="shared" si="5"/>
        <v>100</v>
      </c>
      <c r="J60" s="704">
        <f t="shared" si="5"/>
        <v>101.3</v>
      </c>
      <c r="K60" s="704">
        <f>ROUND((K59/I59)*100,1)</f>
        <v>100.4</v>
      </c>
      <c r="L60" s="704">
        <f t="shared" si="5"/>
        <v>96.8</v>
      </c>
      <c r="M60" s="704">
        <f t="shared" si="5"/>
        <v>118</v>
      </c>
      <c r="N60" s="704">
        <f t="shared" si="5"/>
        <v>131.1</v>
      </c>
      <c r="O60" s="704">
        <f t="shared" si="5"/>
        <v>102.5</v>
      </c>
      <c r="P60" s="704">
        <f t="shared" si="5"/>
        <v>84.2</v>
      </c>
      <c r="Q60" s="704">
        <f t="shared" si="5"/>
        <v>81.5</v>
      </c>
      <c r="R60" s="705">
        <f t="shared" si="5"/>
        <v>80.1</v>
      </c>
      <c r="S60" s="704">
        <f t="shared" si="5"/>
        <v>78.8</v>
      </c>
      <c r="T60" s="705">
        <f t="shared" si="5"/>
        <v>77.2</v>
      </c>
      <c r="U60" s="704">
        <f t="shared" si="5"/>
        <v>82.8</v>
      </c>
      <c r="V60" s="704">
        <f t="shared" si="5"/>
        <v>78.9</v>
      </c>
      <c r="W60" s="704">
        <f t="shared" si="5"/>
        <v>139.4</v>
      </c>
      <c r="X60" s="704">
        <f t="shared" si="5"/>
        <v>164.2</v>
      </c>
      <c r="Y60" s="706">
        <f t="shared" si="5"/>
        <v>217</v>
      </c>
      <c r="Z60" s="707">
        <f t="shared" si="5"/>
        <v>247.9</v>
      </c>
      <c r="AA60" s="706">
        <f>ROUND((AA59/Y59)*100,1)</f>
        <v>129.1</v>
      </c>
      <c r="AB60" s="708">
        <f>ROUND((AB59/Z59)*100,1)</f>
        <v>132.9</v>
      </c>
      <c r="AC60" s="706">
        <f t="shared" si="5"/>
        <v>85</v>
      </c>
      <c r="AD60" s="707">
        <f t="shared" si="5"/>
        <v>82.2</v>
      </c>
      <c r="AE60" s="706">
        <f t="shared" si="5"/>
        <v>86.1</v>
      </c>
      <c r="AF60" s="707">
        <f t="shared" si="5"/>
        <v>77.7</v>
      </c>
      <c r="AG60" s="706">
        <f>ROUND((AG59/AE59)*100,1)</f>
        <v>130.7</v>
      </c>
      <c r="AH60" s="707">
        <f t="shared" si="5"/>
        <v>94.4</v>
      </c>
      <c r="AI60" s="706">
        <f>ROUND((AI59/AE59)*100,1)</f>
        <v>192.2</v>
      </c>
      <c r="AJ60" s="709">
        <f>ROUND((AJ59/AH59)*100,1)</f>
        <v>88.9</v>
      </c>
      <c r="AK60" s="706">
        <f>ROUND((AK59/AI59)*100,1)</f>
        <v>70</v>
      </c>
      <c r="AL60" s="710">
        <f>ROUND((AL59/AJ59)*100,1)</f>
        <v>56.4</v>
      </c>
    </row>
    <row r="61" ht="13.5">
      <c r="A61" s="579" t="s">
        <v>338</v>
      </c>
    </row>
    <row r="62" ht="13.5">
      <c r="D62" s="579" t="s">
        <v>108</v>
      </c>
    </row>
    <row r="63" ht="13.5">
      <c r="C63" s="579" t="s">
        <v>108</v>
      </c>
    </row>
  </sheetData>
  <sheetProtection/>
  <mergeCells count="23">
    <mergeCell ref="AK4:AL4"/>
    <mergeCell ref="A17:A19"/>
    <mergeCell ref="A24:A25"/>
    <mergeCell ref="A59:B59"/>
    <mergeCell ref="A60:B60"/>
    <mergeCell ref="Y4:Z4"/>
    <mergeCell ref="AA4:AB4"/>
    <mergeCell ref="AC4:AD4"/>
    <mergeCell ref="AE4:AF4"/>
    <mergeCell ref="AG4:AH4"/>
    <mergeCell ref="AI4:AJ4"/>
    <mergeCell ref="M4:N4"/>
    <mergeCell ref="O4:P4"/>
    <mergeCell ref="Q4:R4"/>
    <mergeCell ref="S4:T4"/>
    <mergeCell ref="U4:V4"/>
    <mergeCell ref="W4:X4"/>
    <mergeCell ref="A4:B5"/>
    <mergeCell ref="C4:D4"/>
    <mergeCell ref="E4:F4"/>
    <mergeCell ref="G4:H4"/>
    <mergeCell ref="I4:J4"/>
    <mergeCell ref="K4:L4"/>
  </mergeCells>
  <printOptions/>
  <pageMargins left="0.5905511811023623" right="0.5905511811023623" top="0.3937007874015748" bottom="0.1968503937007874" header="0.5905511811023623" footer="0.1968503937007874"/>
  <pageSetup fitToWidth="0" horizontalDpi="600" verticalDpi="600" orientation="portrait" paperSize="9" scale="101" r:id="rId1"/>
  <headerFooter alignWithMargins="0">
    <oddFooter>&amp;C&amp;14- &amp;P+51 -</oddFooter>
  </headerFooter>
  <colBreaks count="1" manualBreakCount="1">
    <brk id="32" max="7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58"/>
  <sheetViews>
    <sheetView showGridLines="0" view="pageBreakPreview" zoomScaleSheetLayoutView="100" zoomScalePageLayoutView="0" workbookViewId="0" topLeftCell="A1">
      <selection activeCell="J48" sqref="J48"/>
    </sheetView>
  </sheetViews>
  <sheetFormatPr defaultColWidth="9.00390625" defaultRowHeight="22.5" customHeight="1"/>
  <cols>
    <col min="1" max="1" width="11.125" style="712" bestFit="1" customWidth="1"/>
    <col min="2" max="2" width="11.00390625" style="712" bestFit="1" customWidth="1"/>
    <col min="3" max="3" width="15.25390625" style="712" bestFit="1" customWidth="1"/>
    <col min="4" max="4" width="12.375" style="712" bestFit="1" customWidth="1"/>
    <col min="5" max="5" width="9.75390625" style="712" bestFit="1" customWidth="1"/>
    <col min="6" max="6" width="9.125" style="712" bestFit="1" customWidth="1"/>
    <col min="7" max="7" width="11.125" style="712" bestFit="1" customWidth="1"/>
    <col min="8" max="8" width="9.125" style="712" bestFit="1" customWidth="1"/>
    <col min="9" max="16384" width="9.00390625" style="712" customWidth="1"/>
  </cols>
  <sheetData>
    <row r="1" ht="27" customHeight="1">
      <c r="A1" s="711" t="s">
        <v>339</v>
      </c>
    </row>
    <row r="2" spans="1:8" ht="42" customHeight="1" thickBot="1">
      <c r="A2" s="713"/>
      <c r="H2" s="714" t="s">
        <v>163</v>
      </c>
    </row>
    <row r="3" spans="1:8" ht="24.75" customHeight="1">
      <c r="A3" s="937" t="s">
        <v>59</v>
      </c>
      <c r="B3" s="939" t="s">
        <v>14</v>
      </c>
      <c r="C3" s="941" t="s">
        <v>340</v>
      </c>
      <c r="D3" s="939" t="s">
        <v>341</v>
      </c>
      <c r="E3" s="939" t="s">
        <v>342</v>
      </c>
      <c r="F3" s="943" t="s">
        <v>66</v>
      </c>
      <c r="G3" s="943"/>
      <c r="H3" s="944"/>
    </row>
    <row r="4" spans="1:8" ht="24.75" customHeight="1">
      <c r="A4" s="938"/>
      <c r="B4" s="940"/>
      <c r="C4" s="942"/>
      <c r="D4" s="940"/>
      <c r="E4" s="940"/>
      <c r="F4" s="716" t="s">
        <v>343</v>
      </c>
      <c r="G4" s="716" t="s">
        <v>341</v>
      </c>
      <c r="H4" s="717" t="s">
        <v>342</v>
      </c>
    </row>
    <row r="5" spans="1:8" ht="30" customHeight="1" hidden="1">
      <c r="A5" s="718"/>
      <c r="B5" s="719" t="s">
        <v>344</v>
      </c>
      <c r="C5" s="720">
        <v>7699826</v>
      </c>
      <c r="D5" s="720">
        <v>2740158</v>
      </c>
      <c r="E5" s="720">
        <v>38361</v>
      </c>
      <c r="F5" s="721">
        <v>90.9</v>
      </c>
      <c r="G5" s="722">
        <v>91.2</v>
      </c>
      <c r="H5" s="723">
        <v>91.2</v>
      </c>
    </row>
    <row r="6" spans="1:8" ht="30" customHeight="1" hidden="1">
      <c r="A6" s="724" t="s">
        <v>85</v>
      </c>
      <c r="B6" s="725" t="s">
        <v>54</v>
      </c>
      <c r="C6" s="726">
        <v>17599274</v>
      </c>
      <c r="D6" s="726">
        <v>6181775</v>
      </c>
      <c r="E6" s="726">
        <v>86545</v>
      </c>
      <c r="F6" s="722">
        <v>97.6</v>
      </c>
      <c r="G6" s="722">
        <v>98.7</v>
      </c>
      <c r="H6" s="727">
        <v>98.7</v>
      </c>
    </row>
    <row r="7" spans="1:8" ht="30" customHeight="1" hidden="1">
      <c r="A7" s="724"/>
      <c r="B7" s="719" t="s">
        <v>3</v>
      </c>
      <c r="C7" s="720">
        <f>C5+C6</f>
        <v>25299100</v>
      </c>
      <c r="D7" s="720">
        <f>D5+D6</f>
        <v>8921933</v>
      </c>
      <c r="E7" s="720">
        <f>E5+E6</f>
        <v>124906</v>
      </c>
      <c r="F7" s="728">
        <v>95.4</v>
      </c>
      <c r="G7" s="728">
        <v>96.3</v>
      </c>
      <c r="H7" s="729">
        <v>96.3</v>
      </c>
    </row>
    <row r="8" spans="1:8" ht="30" customHeight="1" hidden="1">
      <c r="A8" s="730"/>
      <c r="B8" s="719" t="s">
        <v>344</v>
      </c>
      <c r="C8" s="720">
        <v>6148223</v>
      </c>
      <c r="D8" s="720">
        <v>2278303</v>
      </c>
      <c r="E8" s="720">
        <v>31895</v>
      </c>
      <c r="F8" s="721">
        <f aca="true" t="shared" si="0" ref="F8:H23">ROUND((C8/C5)*100,1)</f>
        <v>79.8</v>
      </c>
      <c r="G8" s="721">
        <f t="shared" si="0"/>
        <v>83.1</v>
      </c>
      <c r="H8" s="723">
        <f t="shared" si="0"/>
        <v>83.1</v>
      </c>
    </row>
    <row r="9" spans="1:8" ht="30" customHeight="1" hidden="1">
      <c r="A9" s="724" t="s">
        <v>86</v>
      </c>
      <c r="B9" s="725" t="s">
        <v>54</v>
      </c>
      <c r="C9" s="726">
        <v>16919728</v>
      </c>
      <c r="D9" s="726">
        <v>6074428</v>
      </c>
      <c r="E9" s="726">
        <v>85042</v>
      </c>
      <c r="F9" s="722">
        <f t="shared" si="0"/>
        <v>96.1</v>
      </c>
      <c r="G9" s="722">
        <f t="shared" si="0"/>
        <v>98.3</v>
      </c>
      <c r="H9" s="727">
        <f t="shared" si="0"/>
        <v>98.3</v>
      </c>
    </row>
    <row r="10" spans="1:8" ht="30" customHeight="1" hidden="1">
      <c r="A10" s="715"/>
      <c r="B10" s="731" t="s">
        <v>3</v>
      </c>
      <c r="C10" s="732">
        <f>C8+C9</f>
        <v>23067951</v>
      </c>
      <c r="D10" s="732">
        <f>D8+D9</f>
        <v>8352731</v>
      </c>
      <c r="E10" s="732">
        <f>E8+E9</f>
        <v>116937</v>
      </c>
      <c r="F10" s="733">
        <f t="shared" si="0"/>
        <v>91.2</v>
      </c>
      <c r="G10" s="733">
        <f t="shared" si="0"/>
        <v>93.6</v>
      </c>
      <c r="H10" s="734">
        <f t="shared" si="0"/>
        <v>93.6</v>
      </c>
    </row>
    <row r="11" spans="1:8" ht="30" customHeight="1" hidden="1">
      <c r="A11" s="730"/>
      <c r="B11" s="719" t="s">
        <v>344</v>
      </c>
      <c r="C11" s="726">
        <v>6041975</v>
      </c>
      <c r="D11" s="726">
        <v>2171622</v>
      </c>
      <c r="E11" s="726">
        <v>30402</v>
      </c>
      <c r="F11" s="721">
        <f t="shared" si="0"/>
        <v>98.3</v>
      </c>
      <c r="G11" s="721">
        <f t="shared" si="0"/>
        <v>95.3</v>
      </c>
      <c r="H11" s="723">
        <f t="shared" si="0"/>
        <v>95.3</v>
      </c>
    </row>
    <row r="12" spans="1:8" ht="30" customHeight="1" hidden="1">
      <c r="A12" s="724" t="s">
        <v>87</v>
      </c>
      <c r="B12" s="725" t="s">
        <v>54</v>
      </c>
      <c r="C12" s="726">
        <v>16168341</v>
      </c>
      <c r="D12" s="726">
        <v>5947456</v>
      </c>
      <c r="E12" s="726">
        <v>83264</v>
      </c>
      <c r="F12" s="722">
        <f t="shared" si="0"/>
        <v>95.6</v>
      </c>
      <c r="G12" s="722">
        <f t="shared" si="0"/>
        <v>97.9</v>
      </c>
      <c r="H12" s="727">
        <f t="shared" si="0"/>
        <v>97.9</v>
      </c>
    </row>
    <row r="13" spans="1:8" ht="30" customHeight="1" hidden="1">
      <c r="A13" s="715"/>
      <c r="B13" s="731" t="s">
        <v>3</v>
      </c>
      <c r="C13" s="732">
        <f>C11+C12</f>
        <v>22210316</v>
      </c>
      <c r="D13" s="732">
        <f>D11+D12</f>
        <v>8119078</v>
      </c>
      <c r="E13" s="732">
        <f>E11+E12</f>
        <v>113666</v>
      </c>
      <c r="F13" s="733">
        <f t="shared" si="0"/>
        <v>96.3</v>
      </c>
      <c r="G13" s="733">
        <f t="shared" si="0"/>
        <v>97.2</v>
      </c>
      <c r="H13" s="734">
        <f t="shared" si="0"/>
        <v>97.2</v>
      </c>
    </row>
    <row r="14" spans="1:8" ht="30" customHeight="1" hidden="1">
      <c r="A14" s="735"/>
      <c r="B14" s="725" t="s">
        <v>344</v>
      </c>
      <c r="C14" s="726">
        <v>5017162</v>
      </c>
      <c r="D14" s="726">
        <v>1998279</v>
      </c>
      <c r="E14" s="726">
        <v>27975</v>
      </c>
      <c r="F14" s="722">
        <f t="shared" si="0"/>
        <v>83</v>
      </c>
      <c r="G14" s="722">
        <f t="shared" si="0"/>
        <v>92</v>
      </c>
      <c r="H14" s="727">
        <f t="shared" si="0"/>
        <v>92</v>
      </c>
    </row>
    <row r="15" spans="1:8" ht="30" customHeight="1" hidden="1">
      <c r="A15" s="724" t="s">
        <v>88</v>
      </c>
      <c r="B15" s="725" t="s">
        <v>54</v>
      </c>
      <c r="C15" s="726">
        <v>15591710</v>
      </c>
      <c r="D15" s="726">
        <v>5846673</v>
      </c>
      <c r="E15" s="726">
        <v>81853</v>
      </c>
      <c r="F15" s="722">
        <f t="shared" si="0"/>
        <v>96.4</v>
      </c>
      <c r="G15" s="722">
        <f t="shared" si="0"/>
        <v>98.3</v>
      </c>
      <c r="H15" s="727">
        <f t="shared" si="0"/>
        <v>98.3</v>
      </c>
    </row>
    <row r="16" spans="1:8" ht="30" customHeight="1" hidden="1">
      <c r="A16" s="715"/>
      <c r="B16" s="731" t="s">
        <v>3</v>
      </c>
      <c r="C16" s="732">
        <f>C14+C15</f>
        <v>20608872</v>
      </c>
      <c r="D16" s="732">
        <f>D14+D15</f>
        <v>7844952</v>
      </c>
      <c r="E16" s="732">
        <f>E14+E15</f>
        <v>109828</v>
      </c>
      <c r="F16" s="733">
        <f t="shared" si="0"/>
        <v>92.8</v>
      </c>
      <c r="G16" s="733">
        <f t="shared" si="0"/>
        <v>96.6</v>
      </c>
      <c r="H16" s="734">
        <f t="shared" si="0"/>
        <v>96.6</v>
      </c>
    </row>
    <row r="17" spans="1:8" ht="30" customHeight="1" hidden="1">
      <c r="A17" s="735"/>
      <c r="B17" s="725" t="s">
        <v>344</v>
      </c>
      <c r="C17" s="726">
        <v>4934176</v>
      </c>
      <c r="D17" s="726">
        <v>1952187</v>
      </c>
      <c r="E17" s="726">
        <v>27330</v>
      </c>
      <c r="F17" s="722">
        <f t="shared" si="0"/>
        <v>98.3</v>
      </c>
      <c r="G17" s="722">
        <f t="shared" si="0"/>
        <v>97.7</v>
      </c>
      <c r="H17" s="727">
        <f t="shared" si="0"/>
        <v>97.7</v>
      </c>
    </row>
    <row r="18" spans="1:8" ht="30" customHeight="1" hidden="1">
      <c r="A18" s="724" t="s">
        <v>89</v>
      </c>
      <c r="B18" s="725" t="s">
        <v>54</v>
      </c>
      <c r="C18" s="726">
        <v>13048553</v>
      </c>
      <c r="D18" s="726">
        <v>4575072</v>
      </c>
      <c r="E18" s="726">
        <v>64050</v>
      </c>
      <c r="F18" s="722">
        <f t="shared" si="0"/>
        <v>83.7</v>
      </c>
      <c r="G18" s="722">
        <f t="shared" si="0"/>
        <v>78.3</v>
      </c>
      <c r="H18" s="727">
        <f t="shared" si="0"/>
        <v>78.3</v>
      </c>
    </row>
    <row r="19" spans="1:8" ht="30" customHeight="1" hidden="1">
      <c r="A19" s="715"/>
      <c r="B19" s="731" t="s">
        <v>3</v>
      </c>
      <c r="C19" s="732">
        <f>C17+C18</f>
        <v>17982729</v>
      </c>
      <c r="D19" s="732">
        <f>D17+D18</f>
        <v>6527259</v>
      </c>
      <c r="E19" s="732">
        <f>E17+E18</f>
        <v>91380</v>
      </c>
      <c r="F19" s="733">
        <f t="shared" si="0"/>
        <v>87.3</v>
      </c>
      <c r="G19" s="733">
        <f t="shared" si="0"/>
        <v>83.2</v>
      </c>
      <c r="H19" s="734">
        <f t="shared" si="0"/>
        <v>83.2</v>
      </c>
    </row>
    <row r="20" spans="1:8" ht="30" customHeight="1" hidden="1">
      <c r="A20" s="735"/>
      <c r="B20" s="725" t="s">
        <v>344</v>
      </c>
      <c r="C20" s="736">
        <v>4952732</v>
      </c>
      <c r="D20" s="736">
        <v>1938296</v>
      </c>
      <c r="E20" s="736">
        <v>27135</v>
      </c>
      <c r="F20" s="722">
        <f t="shared" si="0"/>
        <v>100.4</v>
      </c>
      <c r="G20" s="722">
        <f t="shared" si="0"/>
        <v>99.3</v>
      </c>
      <c r="H20" s="727">
        <f t="shared" si="0"/>
        <v>99.3</v>
      </c>
    </row>
    <row r="21" spans="1:8" ht="30" customHeight="1" hidden="1">
      <c r="A21" s="724" t="s">
        <v>90</v>
      </c>
      <c r="B21" s="725" t="s">
        <v>54</v>
      </c>
      <c r="C21" s="736">
        <v>12986022</v>
      </c>
      <c r="D21" s="736">
        <v>4566916</v>
      </c>
      <c r="E21" s="736">
        <v>63937</v>
      </c>
      <c r="F21" s="722">
        <f t="shared" si="0"/>
        <v>99.5</v>
      </c>
      <c r="G21" s="722">
        <f t="shared" si="0"/>
        <v>99.8</v>
      </c>
      <c r="H21" s="727">
        <f t="shared" si="0"/>
        <v>99.8</v>
      </c>
    </row>
    <row r="22" spans="1:8" ht="30" customHeight="1" hidden="1">
      <c r="A22" s="715"/>
      <c r="B22" s="731" t="s">
        <v>3</v>
      </c>
      <c r="C22" s="737">
        <f>C20+C21</f>
        <v>17938754</v>
      </c>
      <c r="D22" s="737">
        <f>D20+D21</f>
        <v>6505212</v>
      </c>
      <c r="E22" s="737">
        <f>E20+E21</f>
        <v>91072</v>
      </c>
      <c r="F22" s="738">
        <f t="shared" si="0"/>
        <v>99.8</v>
      </c>
      <c r="G22" s="733">
        <f t="shared" si="0"/>
        <v>99.7</v>
      </c>
      <c r="H22" s="734">
        <f t="shared" si="0"/>
        <v>99.7</v>
      </c>
    </row>
    <row r="23" spans="1:8" ht="30" customHeight="1" hidden="1">
      <c r="A23" s="735"/>
      <c r="B23" s="725" t="s">
        <v>344</v>
      </c>
      <c r="C23" s="736">
        <v>4452688</v>
      </c>
      <c r="D23" s="736">
        <v>1795915</v>
      </c>
      <c r="E23" s="736">
        <v>25142</v>
      </c>
      <c r="F23" s="739">
        <f t="shared" si="0"/>
        <v>89.9</v>
      </c>
      <c r="G23" s="722">
        <f t="shared" si="0"/>
        <v>92.7</v>
      </c>
      <c r="H23" s="727">
        <f t="shared" si="0"/>
        <v>92.7</v>
      </c>
    </row>
    <row r="24" spans="1:8" ht="30" customHeight="1" hidden="1">
      <c r="A24" s="724" t="s">
        <v>91</v>
      </c>
      <c r="B24" s="725" t="s">
        <v>54</v>
      </c>
      <c r="C24" s="736">
        <v>12413901</v>
      </c>
      <c r="D24" s="736">
        <v>4305060</v>
      </c>
      <c r="E24" s="736">
        <v>60271</v>
      </c>
      <c r="F24" s="739">
        <f aca="true" t="shared" si="1" ref="F24:H39">ROUND((C24/C21)*100,1)</f>
        <v>95.6</v>
      </c>
      <c r="G24" s="722">
        <f t="shared" si="1"/>
        <v>94.3</v>
      </c>
      <c r="H24" s="727">
        <f t="shared" si="1"/>
        <v>94.3</v>
      </c>
    </row>
    <row r="25" spans="1:8" ht="30" customHeight="1" hidden="1">
      <c r="A25" s="715"/>
      <c r="B25" s="731" t="s">
        <v>3</v>
      </c>
      <c r="C25" s="732">
        <f>C23+C24</f>
        <v>16866589</v>
      </c>
      <c r="D25" s="732">
        <f>D23+D24</f>
        <v>6100975</v>
      </c>
      <c r="E25" s="732">
        <f>E23+E24</f>
        <v>85413</v>
      </c>
      <c r="F25" s="733">
        <f t="shared" si="1"/>
        <v>94</v>
      </c>
      <c r="G25" s="733">
        <f t="shared" si="1"/>
        <v>93.8</v>
      </c>
      <c r="H25" s="734">
        <f t="shared" si="1"/>
        <v>93.8</v>
      </c>
    </row>
    <row r="26" spans="1:8" ht="30" customHeight="1" hidden="1">
      <c r="A26" s="735"/>
      <c r="B26" s="725" t="s">
        <v>344</v>
      </c>
      <c r="C26" s="740">
        <v>3803889</v>
      </c>
      <c r="D26" s="740">
        <v>1158944</v>
      </c>
      <c r="E26" s="740">
        <v>16225</v>
      </c>
      <c r="F26" s="739">
        <f t="shared" si="1"/>
        <v>85.4</v>
      </c>
      <c r="G26" s="722">
        <f t="shared" si="1"/>
        <v>64.5</v>
      </c>
      <c r="H26" s="727">
        <f t="shared" si="1"/>
        <v>64.5</v>
      </c>
    </row>
    <row r="27" spans="1:8" ht="30" customHeight="1" hidden="1">
      <c r="A27" s="724" t="s">
        <v>92</v>
      </c>
      <c r="B27" s="725" t="s">
        <v>54</v>
      </c>
      <c r="C27" s="736">
        <v>12141389</v>
      </c>
      <c r="D27" s="736">
        <v>4251888</v>
      </c>
      <c r="E27" s="736">
        <v>59526</v>
      </c>
      <c r="F27" s="739">
        <f t="shared" si="1"/>
        <v>97.8</v>
      </c>
      <c r="G27" s="722">
        <f t="shared" si="1"/>
        <v>98.8</v>
      </c>
      <c r="H27" s="727">
        <f t="shared" si="1"/>
        <v>98.8</v>
      </c>
    </row>
    <row r="28" spans="1:8" ht="30" customHeight="1" hidden="1">
      <c r="A28" s="715"/>
      <c r="B28" s="731" t="s">
        <v>3</v>
      </c>
      <c r="C28" s="732">
        <f>C26+C27</f>
        <v>15945278</v>
      </c>
      <c r="D28" s="732">
        <f>D26+D27</f>
        <v>5410832</v>
      </c>
      <c r="E28" s="732">
        <f>E26+E27</f>
        <v>75751</v>
      </c>
      <c r="F28" s="733">
        <f t="shared" si="1"/>
        <v>94.5</v>
      </c>
      <c r="G28" s="733">
        <f t="shared" si="1"/>
        <v>88.7</v>
      </c>
      <c r="H28" s="734">
        <f t="shared" si="1"/>
        <v>88.7</v>
      </c>
    </row>
    <row r="29" spans="1:8" ht="30" customHeight="1" hidden="1">
      <c r="A29" s="730"/>
      <c r="B29" s="719" t="s">
        <v>344</v>
      </c>
      <c r="C29" s="736">
        <v>2872290</v>
      </c>
      <c r="D29" s="736">
        <v>839154</v>
      </c>
      <c r="E29" s="736">
        <v>11748</v>
      </c>
      <c r="F29" s="741">
        <f t="shared" si="1"/>
        <v>75.5</v>
      </c>
      <c r="G29" s="721">
        <f t="shared" si="1"/>
        <v>72.4</v>
      </c>
      <c r="H29" s="723">
        <f t="shared" si="1"/>
        <v>72.4</v>
      </c>
    </row>
    <row r="30" spans="1:8" ht="30" customHeight="1" hidden="1">
      <c r="A30" s="724" t="s">
        <v>171</v>
      </c>
      <c r="B30" s="725" t="s">
        <v>54</v>
      </c>
      <c r="C30" s="736">
        <v>11690672</v>
      </c>
      <c r="D30" s="736">
        <v>4088325</v>
      </c>
      <c r="E30" s="736">
        <v>57236</v>
      </c>
      <c r="F30" s="739">
        <f t="shared" si="1"/>
        <v>96.3</v>
      </c>
      <c r="G30" s="722">
        <f t="shared" si="1"/>
        <v>96.2</v>
      </c>
      <c r="H30" s="727">
        <f t="shared" si="1"/>
        <v>96.2</v>
      </c>
    </row>
    <row r="31" spans="1:8" ht="30" customHeight="1" hidden="1">
      <c r="A31" s="715"/>
      <c r="B31" s="731" t="s">
        <v>3</v>
      </c>
      <c r="C31" s="732">
        <f>C29+C30</f>
        <v>14562962</v>
      </c>
      <c r="D31" s="732">
        <f>D29+D30</f>
        <v>4927479</v>
      </c>
      <c r="E31" s="732">
        <f>E29+E30</f>
        <v>68984</v>
      </c>
      <c r="F31" s="733">
        <f t="shared" si="1"/>
        <v>91.3</v>
      </c>
      <c r="G31" s="733">
        <f t="shared" si="1"/>
        <v>91.1</v>
      </c>
      <c r="H31" s="734">
        <f t="shared" si="1"/>
        <v>91.1</v>
      </c>
    </row>
    <row r="32" spans="1:8" ht="30" customHeight="1" hidden="1">
      <c r="A32" s="735"/>
      <c r="B32" s="725" t="s">
        <v>344</v>
      </c>
      <c r="C32" s="720">
        <v>2742720</v>
      </c>
      <c r="D32" s="720">
        <v>766574</v>
      </c>
      <c r="E32" s="720">
        <v>10731</v>
      </c>
      <c r="F32" s="739">
        <f t="shared" si="1"/>
        <v>95.5</v>
      </c>
      <c r="G32" s="722">
        <f t="shared" si="1"/>
        <v>91.4</v>
      </c>
      <c r="H32" s="727">
        <f t="shared" si="1"/>
        <v>91.3</v>
      </c>
    </row>
    <row r="33" spans="1:8" ht="30" customHeight="1" hidden="1">
      <c r="A33" s="724" t="s">
        <v>95</v>
      </c>
      <c r="B33" s="725" t="s">
        <v>54</v>
      </c>
      <c r="C33" s="726">
        <v>11132299</v>
      </c>
      <c r="D33" s="726">
        <v>3891016</v>
      </c>
      <c r="E33" s="726">
        <v>54474</v>
      </c>
      <c r="F33" s="739">
        <f t="shared" si="1"/>
        <v>95.2</v>
      </c>
      <c r="G33" s="722">
        <f t="shared" si="1"/>
        <v>95.2</v>
      </c>
      <c r="H33" s="727">
        <f t="shared" si="1"/>
        <v>95.2</v>
      </c>
    </row>
    <row r="34" spans="1:8" ht="30" customHeight="1" hidden="1">
      <c r="A34" s="715"/>
      <c r="B34" s="731" t="s">
        <v>3</v>
      </c>
      <c r="C34" s="732">
        <f>C32+C33</f>
        <v>13875019</v>
      </c>
      <c r="D34" s="732">
        <f>D32+D33</f>
        <v>4657590</v>
      </c>
      <c r="E34" s="732">
        <f>E32+E33</f>
        <v>65205</v>
      </c>
      <c r="F34" s="733">
        <f t="shared" si="1"/>
        <v>95.3</v>
      </c>
      <c r="G34" s="733">
        <f t="shared" si="1"/>
        <v>94.5</v>
      </c>
      <c r="H34" s="734">
        <f t="shared" si="1"/>
        <v>94.5</v>
      </c>
    </row>
    <row r="35" spans="1:8" ht="30" customHeight="1" hidden="1">
      <c r="A35" s="945" t="s">
        <v>139</v>
      </c>
      <c r="B35" s="719" t="s">
        <v>345</v>
      </c>
      <c r="C35" s="720">
        <v>2637904</v>
      </c>
      <c r="D35" s="720">
        <v>735818</v>
      </c>
      <c r="E35" s="720">
        <v>10301</v>
      </c>
      <c r="F35" s="721">
        <f t="shared" si="1"/>
        <v>96.2</v>
      </c>
      <c r="G35" s="721">
        <f t="shared" si="1"/>
        <v>96</v>
      </c>
      <c r="H35" s="742">
        <f t="shared" si="1"/>
        <v>96</v>
      </c>
    </row>
    <row r="36" spans="1:8" ht="30" customHeight="1" hidden="1">
      <c r="A36" s="946" t="s">
        <v>346</v>
      </c>
      <c r="B36" s="725" t="s">
        <v>347</v>
      </c>
      <c r="C36" s="743">
        <v>11003897</v>
      </c>
      <c r="D36" s="743">
        <v>3794654</v>
      </c>
      <c r="E36" s="743">
        <v>53125</v>
      </c>
      <c r="F36" s="722">
        <f t="shared" si="1"/>
        <v>98.8</v>
      </c>
      <c r="G36" s="722">
        <f t="shared" si="1"/>
        <v>97.5</v>
      </c>
      <c r="H36" s="744">
        <f t="shared" si="1"/>
        <v>97.5</v>
      </c>
    </row>
    <row r="37" spans="1:8" ht="30" customHeight="1" hidden="1">
      <c r="A37" s="946" t="s">
        <v>346</v>
      </c>
      <c r="B37" s="719" t="s">
        <v>97</v>
      </c>
      <c r="C37" s="720">
        <f>C35+C36</f>
        <v>13641801</v>
      </c>
      <c r="D37" s="720">
        <f>D35+D36</f>
        <v>4530472</v>
      </c>
      <c r="E37" s="720">
        <f>E35+E36</f>
        <v>63426</v>
      </c>
      <c r="F37" s="721">
        <f t="shared" si="1"/>
        <v>98.3</v>
      </c>
      <c r="G37" s="721">
        <f t="shared" si="1"/>
        <v>97.3</v>
      </c>
      <c r="H37" s="744">
        <f t="shared" si="1"/>
        <v>97.3</v>
      </c>
    </row>
    <row r="38" spans="1:8" ht="30" customHeight="1" hidden="1">
      <c r="A38" s="945" t="s">
        <v>140</v>
      </c>
      <c r="B38" s="719" t="s">
        <v>345</v>
      </c>
      <c r="C38" s="720">
        <v>2346460</v>
      </c>
      <c r="D38" s="720">
        <v>640247</v>
      </c>
      <c r="E38" s="720">
        <v>8963</v>
      </c>
      <c r="F38" s="745">
        <f t="shared" si="1"/>
        <v>89</v>
      </c>
      <c r="G38" s="745">
        <f t="shared" si="1"/>
        <v>87</v>
      </c>
      <c r="H38" s="746">
        <f t="shared" si="1"/>
        <v>87</v>
      </c>
    </row>
    <row r="39" spans="1:8" ht="30" customHeight="1" hidden="1">
      <c r="A39" s="946" t="s">
        <v>346</v>
      </c>
      <c r="B39" s="716" t="s">
        <v>347</v>
      </c>
      <c r="C39" s="743">
        <v>10821088</v>
      </c>
      <c r="D39" s="743">
        <v>3706007</v>
      </c>
      <c r="E39" s="743">
        <v>51884</v>
      </c>
      <c r="F39" s="747">
        <f t="shared" si="1"/>
        <v>98.3</v>
      </c>
      <c r="G39" s="747">
        <f t="shared" si="1"/>
        <v>97.7</v>
      </c>
      <c r="H39" s="748">
        <f t="shared" si="1"/>
        <v>97.7</v>
      </c>
    </row>
    <row r="40" spans="1:8" ht="30" customHeight="1" hidden="1">
      <c r="A40" s="950" t="s">
        <v>346</v>
      </c>
      <c r="B40" s="725" t="s">
        <v>97</v>
      </c>
      <c r="C40" s="726">
        <f>C38+C39</f>
        <v>13167548</v>
      </c>
      <c r="D40" s="726">
        <f>D38+D39</f>
        <v>4346254</v>
      </c>
      <c r="E40" s="726">
        <f>E38+E39</f>
        <v>60847</v>
      </c>
      <c r="F40" s="749">
        <f aca="true" t="shared" si="2" ref="F40:H52">ROUND((C40/C37)*100,1)</f>
        <v>96.5</v>
      </c>
      <c r="G40" s="749">
        <f t="shared" si="2"/>
        <v>95.9</v>
      </c>
      <c r="H40" s="750">
        <f t="shared" si="2"/>
        <v>95.9</v>
      </c>
    </row>
    <row r="41" spans="1:8" ht="30" customHeight="1" hidden="1">
      <c r="A41" s="945" t="s">
        <v>32</v>
      </c>
      <c r="B41" s="719" t="s">
        <v>345</v>
      </c>
      <c r="C41" s="720">
        <v>2181259</v>
      </c>
      <c r="D41" s="720">
        <v>587094</v>
      </c>
      <c r="E41" s="720">
        <v>8219</v>
      </c>
      <c r="F41" s="745">
        <f t="shared" si="2"/>
        <v>93</v>
      </c>
      <c r="G41" s="745">
        <f t="shared" si="2"/>
        <v>91.7</v>
      </c>
      <c r="H41" s="746">
        <f t="shared" si="2"/>
        <v>91.7</v>
      </c>
    </row>
    <row r="42" spans="1:8" ht="30" customHeight="1" hidden="1">
      <c r="A42" s="946" t="s">
        <v>346</v>
      </c>
      <c r="B42" s="716" t="s">
        <v>347</v>
      </c>
      <c r="C42" s="743">
        <v>10374275</v>
      </c>
      <c r="D42" s="743">
        <v>3540741</v>
      </c>
      <c r="E42" s="743">
        <v>49570</v>
      </c>
      <c r="F42" s="747">
        <f t="shared" si="2"/>
        <v>95.9</v>
      </c>
      <c r="G42" s="747">
        <f t="shared" si="2"/>
        <v>95.5</v>
      </c>
      <c r="H42" s="748">
        <f t="shared" si="2"/>
        <v>95.5</v>
      </c>
    </row>
    <row r="43" spans="1:8" ht="30" customHeight="1" hidden="1">
      <c r="A43" s="950" t="s">
        <v>346</v>
      </c>
      <c r="B43" s="725" t="s">
        <v>97</v>
      </c>
      <c r="C43" s="726">
        <f>C41+C42</f>
        <v>12555534</v>
      </c>
      <c r="D43" s="726">
        <f>D41+D42</f>
        <v>4127835</v>
      </c>
      <c r="E43" s="726">
        <f>E41+E42</f>
        <v>57789</v>
      </c>
      <c r="F43" s="749">
        <f t="shared" si="2"/>
        <v>95.4</v>
      </c>
      <c r="G43" s="749">
        <f t="shared" si="2"/>
        <v>95</v>
      </c>
      <c r="H43" s="746">
        <f t="shared" si="2"/>
        <v>95</v>
      </c>
    </row>
    <row r="44" spans="1:8" ht="30" customHeight="1">
      <c r="A44" s="946" t="s">
        <v>35</v>
      </c>
      <c r="B44" s="719" t="s">
        <v>345</v>
      </c>
      <c r="C44" s="720">
        <v>1925750</v>
      </c>
      <c r="D44" s="720">
        <v>523374</v>
      </c>
      <c r="E44" s="720">
        <v>7327</v>
      </c>
      <c r="F44" s="745">
        <f t="shared" si="2"/>
        <v>88.3</v>
      </c>
      <c r="G44" s="745">
        <f t="shared" si="2"/>
        <v>89.1</v>
      </c>
      <c r="H44" s="751">
        <f t="shared" si="2"/>
        <v>89.1</v>
      </c>
    </row>
    <row r="45" spans="1:8" ht="30" customHeight="1">
      <c r="A45" s="946" t="s">
        <v>346</v>
      </c>
      <c r="B45" s="716" t="s">
        <v>347</v>
      </c>
      <c r="C45" s="743">
        <v>10353005</v>
      </c>
      <c r="D45" s="743">
        <v>3524266</v>
      </c>
      <c r="E45" s="743">
        <v>49340</v>
      </c>
      <c r="F45" s="747">
        <f t="shared" si="2"/>
        <v>99.8</v>
      </c>
      <c r="G45" s="747">
        <f t="shared" si="2"/>
        <v>99.5</v>
      </c>
      <c r="H45" s="748">
        <f t="shared" si="2"/>
        <v>99.5</v>
      </c>
    </row>
    <row r="46" spans="1:8" ht="30" customHeight="1">
      <c r="A46" s="946" t="s">
        <v>346</v>
      </c>
      <c r="B46" s="725" t="s">
        <v>97</v>
      </c>
      <c r="C46" s="726">
        <f>C44+C45</f>
        <v>12278755</v>
      </c>
      <c r="D46" s="726">
        <f>D44+D45</f>
        <v>4047640</v>
      </c>
      <c r="E46" s="726">
        <f>E44+E45</f>
        <v>56667</v>
      </c>
      <c r="F46" s="749">
        <f t="shared" si="2"/>
        <v>97.8</v>
      </c>
      <c r="G46" s="749">
        <f t="shared" si="2"/>
        <v>98.1</v>
      </c>
      <c r="H46" s="746">
        <f t="shared" si="2"/>
        <v>98.1</v>
      </c>
    </row>
    <row r="47" spans="1:8" ht="30" customHeight="1">
      <c r="A47" s="945" t="s">
        <v>48</v>
      </c>
      <c r="B47" s="719" t="s">
        <v>345</v>
      </c>
      <c r="C47" s="720">
        <v>1897220</v>
      </c>
      <c r="D47" s="720">
        <v>509997</v>
      </c>
      <c r="E47" s="720">
        <v>7140</v>
      </c>
      <c r="F47" s="745">
        <f t="shared" si="2"/>
        <v>98.5</v>
      </c>
      <c r="G47" s="745">
        <f>ROUND((D47/D44)*100,1)</f>
        <v>97.4</v>
      </c>
      <c r="H47" s="751">
        <f t="shared" si="2"/>
        <v>97.4</v>
      </c>
    </row>
    <row r="48" spans="1:8" ht="30" customHeight="1">
      <c r="A48" s="946" t="s">
        <v>346</v>
      </c>
      <c r="B48" s="716" t="s">
        <v>347</v>
      </c>
      <c r="C48" s="743">
        <v>9773119</v>
      </c>
      <c r="D48" s="743">
        <v>3326502</v>
      </c>
      <c r="E48" s="743">
        <v>46571</v>
      </c>
      <c r="F48" s="747">
        <f t="shared" si="2"/>
        <v>94.4</v>
      </c>
      <c r="G48" s="747">
        <f t="shared" si="2"/>
        <v>94.4</v>
      </c>
      <c r="H48" s="748">
        <f t="shared" si="2"/>
        <v>94.4</v>
      </c>
    </row>
    <row r="49" spans="1:8" ht="30" customHeight="1">
      <c r="A49" s="950" t="s">
        <v>346</v>
      </c>
      <c r="B49" s="716" t="s">
        <v>97</v>
      </c>
      <c r="C49" s="743">
        <f>C47+C48</f>
        <v>11670339</v>
      </c>
      <c r="D49" s="743">
        <f>D47+D48</f>
        <v>3836499</v>
      </c>
      <c r="E49" s="743">
        <f>E47+E48</f>
        <v>53711</v>
      </c>
      <c r="F49" s="747">
        <f>ROUND((C49/C46)*100,1)</f>
        <v>95</v>
      </c>
      <c r="G49" s="747">
        <f t="shared" si="2"/>
        <v>94.8</v>
      </c>
      <c r="H49" s="748">
        <f t="shared" si="2"/>
        <v>94.8</v>
      </c>
    </row>
    <row r="50" spans="1:8" ht="30" customHeight="1">
      <c r="A50" s="946" t="s">
        <v>144</v>
      </c>
      <c r="B50" s="725" t="s">
        <v>345</v>
      </c>
      <c r="C50" s="726">
        <v>1882503</v>
      </c>
      <c r="D50" s="726">
        <v>509331</v>
      </c>
      <c r="E50" s="726">
        <v>7130</v>
      </c>
      <c r="F50" s="749">
        <f>ROUND((C50/C47)*100,1)</f>
        <v>99.2</v>
      </c>
      <c r="G50" s="749">
        <f t="shared" si="2"/>
        <v>99.9</v>
      </c>
      <c r="H50" s="746">
        <f t="shared" si="2"/>
        <v>99.9</v>
      </c>
    </row>
    <row r="51" spans="1:8" ht="30" customHeight="1">
      <c r="A51" s="946" t="s">
        <v>346</v>
      </c>
      <c r="B51" s="716" t="s">
        <v>347</v>
      </c>
      <c r="C51" s="743">
        <v>9520275</v>
      </c>
      <c r="D51" s="743">
        <v>3201361</v>
      </c>
      <c r="E51" s="743">
        <v>44819</v>
      </c>
      <c r="F51" s="747">
        <f>ROUND((C51/C48)*100,1)</f>
        <v>97.4</v>
      </c>
      <c r="G51" s="747">
        <f t="shared" si="2"/>
        <v>96.2</v>
      </c>
      <c r="H51" s="748">
        <f t="shared" si="2"/>
        <v>96.2</v>
      </c>
    </row>
    <row r="52" spans="1:8" ht="30" customHeight="1">
      <c r="A52" s="946" t="s">
        <v>346</v>
      </c>
      <c r="B52" s="725" t="s">
        <v>97</v>
      </c>
      <c r="C52" s="726">
        <f>C50+C51</f>
        <v>11402778</v>
      </c>
      <c r="D52" s="726">
        <f>D50+D51</f>
        <v>3710692</v>
      </c>
      <c r="E52" s="726">
        <f>E50+E51</f>
        <v>51949</v>
      </c>
      <c r="F52" s="749">
        <f>ROUND((C52/C49)*100,1)</f>
        <v>97.7</v>
      </c>
      <c r="G52" s="749">
        <f t="shared" si="2"/>
        <v>96.7</v>
      </c>
      <c r="H52" s="746">
        <f t="shared" si="2"/>
        <v>96.7</v>
      </c>
    </row>
    <row r="53" spans="1:8" ht="30" customHeight="1">
      <c r="A53" s="945" t="s">
        <v>39</v>
      </c>
      <c r="B53" s="719" t="s">
        <v>345</v>
      </c>
      <c r="C53" s="720">
        <v>1807241</v>
      </c>
      <c r="D53" s="720">
        <v>471372</v>
      </c>
      <c r="E53" s="720">
        <v>6599</v>
      </c>
      <c r="F53" s="745">
        <f aca="true" t="shared" si="3" ref="F53:H55">ROUND((C53/C47)*100,1)</f>
        <v>95.3</v>
      </c>
      <c r="G53" s="745">
        <f t="shared" si="3"/>
        <v>92.4</v>
      </c>
      <c r="H53" s="751">
        <f t="shared" si="3"/>
        <v>92.4</v>
      </c>
    </row>
    <row r="54" spans="1:8" ht="30" customHeight="1">
      <c r="A54" s="946" t="s">
        <v>346</v>
      </c>
      <c r="B54" s="716" t="s">
        <v>347</v>
      </c>
      <c r="C54" s="743">
        <v>9359471</v>
      </c>
      <c r="D54" s="743">
        <v>3115047</v>
      </c>
      <c r="E54" s="743">
        <v>43610</v>
      </c>
      <c r="F54" s="747">
        <f t="shared" si="3"/>
        <v>95.8</v>
      </c>
      <c r="G54" s="747">
        <f t="shared" si="3"/>
        <v>93.6</v>
      </c>
      <c r="H54" s="748">
        <f t="shared" si="3"/>
        <v>93.6</v>
      </c>
    </row>
    <row r="55" spans="1:8" ht="30" customHeight="1">
      <c r="A55" s="946" t="s">
        <v>346</v>
      </c>
      <c r="B55" s="725" t="s">
        <v>97</v>
      </c>
      <c r="C55" s="726">
        <f>C53+C54</f>
        <v>11166712</v>
      </c>
      <c r="D55" s="726">
        <f>D53+D54</f>
        <v>3586419</v>
      </c>
      <c r="E55" s="726">
        <f>E53+E54</f>
        <v>50209</v>
      </c>
      <c r="F55" s="749">
        <f t="shared" si="3"/>
        <v>95.7</v>
      </c>
      <c r="G55" s="749">
        <f t="shared" si="3"/>
        <v>93.5</v>
      </c>
      <c r="H55" s="746">
        <f t="shared" si="3"/>
        <v>93.5</v>
      </c>
    </row>
    <row r="56" spans="1:8" ht="30" customHeight="1">
      <c r="A56" s="947" t="s">
        <v>42</v>
      </c>
      <c r="B56" s="752" t="s">
        <v>345</v>
      </c>
      <c r="C56" s="740">
        <v>1946568</v>
      </c>
      <c r="D56" s="740">
        <v>526796</v>
      </c>
      <c r="E56" s="740">
        <v>7375</v>
      </c>
      <c r="F56" s="745">
        <f aca="true" t="shared" si="4" ref="F56:H58">ROUND((C56/C53)*100,1)</f>
        <v>107.7</v>
      </c>
      <c r="G56" s="745">
        <f t="shared" si="4"/>
        <v>111.8</v>
      </c>
      <c r="H56" s="753">
        <f t="shared" si="4"/>
        <v>111.8</v>
      </c>
    </row>
    <row r="57" spans="1:8" ht="30" customHeight="1">
      <c r="A57" s="948" t="s">
        <v>346</v>
      </c>
      <c r="B57" s="754" t="s">
        <v>347</v>
      </c>
      <c r="C57" s="755">
        <v>9216113</v>
      </c>
      <c r="D57" s="755">
        <v>3026694</v>
      </c>
      <c r="E57" s="755">
        <v>42374</v>
      </c>
      <c r="F57" s="747">
        <f t="shared" si="4"/>
        <v>98.5</v>
      </c>
      <c r="G57" s="747">
        <f t="shared" si="4"/>
        <v>97.2</v>
      </c>
      <c r="H57" s="756">
        <f t="shared" si="4"/>
        <v>97.2</v>
      </c>
    </row>
    <row r="58" spans="1:8" ht="30" customHeight="1" thickBot="1">
      <c r="A58" s="949" t="s">
        <v>346</v>
      </c>
      <c r="B58" s="757" t="s">
        <v>97</v>
      </c>
      <c r="C58" s="758">
        <f>C56+C57</f>
        <v>11162681</v>
      </c>
      <c r="D58" s="758">
        <f>D56+D57</f>
        <v>3553490</v>
      </c>
      <c r="E58" s="758">
        <f>E56+E57</f>
        <v>49749</v>
      </c>
      <c r="F58" s="759">
        <f t="shared" si="4"/>
        <v>100</v>
      </c>
      <c r="G58" s="759">
        <f t="shared" si="4"/>
        <v>99.1</v>
      </c>
      <c r="H58" s="760">
        <f t="shared" si="4"/>
        <v>99.1</v>
      </c>
    </row>
  </sheetData>
  <sheetProtection/>
  <mergeCells count="14">
    <mergeCell ref="A53:A55"/>
    <mergeCell ref="A56:A58"/>
    <mergeCell ref="A35:A37"/>
    <mergeCell ref="A38:A40"/>
    <mergeCell ref="A41:A43"/>
    <mergeCell ref="A44:A46"/>
    <mergeCell ref="A47:A49"/>
    <mergeCell ref="A50:A52"/>
    <mergeCell ref="A3:A4"/>
    <mergeCell ref="B3:B4"/>
    <mergeCell ref="C3:C4"/>
    <mergeCell ref="D3:D4"/>
    <mergeCell ref="E3:E4"/>
    <mergeCell ref="F3:H3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r:id="rId1"/>
  <headerFooter alignWithMargins="0">
    <oddFooter>&amp;C&amp;14- &amp;P+53 -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固定　納税義務者数</dc:title>
  <dc:subject/>
  <dc:creator>gifu</dc:creator>
  <cp:keywords/>
  <dc:description/>
  <cp:lastModifiedBy>Windows ユーザー</cp:lastModifiedBy>
  <cp:lastPrinted>2021-10-27T05:02:32Z</cp:lastPrinted>
  <dcterms:created xsi:type="dcterms:W3CDTF">2002-12-09T07:42:37Z</dcterms:created>
  <dcterms:modified xsi:type="dcterms:W3CDTF">2021-10-27T05:02:59Z</dcterms:modified>
  <cp:category/>
  <cp:version/>
  <cp:contentType/>
  <cp:contentStatus/>
</cp:coreProperties>
</file>